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3E7752E6-EB1E-4C8F-9A56-427D37443E2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US Capex Model" sheetId="1" r:id="rId1"/>
    <sheet name="Utilization Research" sheetId="2" r:id="rId2"/>
    <sheet name="US Share Research" sheetId="3" r:id="rId3"/>
    <sheet name="GW-TWh Conversion" sheetId="4" r:id="rId4"/>
    <sheet name="Railroad CPI" sheetId="5" r:id="rId5"/>
    <sheet name="Telecom CPI" sheetId="6" r:id="rId6"/>
    <sheet name="Cost Sources" sheetId="7" r:id="rId7"/>
    <sheet name="Methodology Notes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6" l="1"/>
  <c r="B21" i="6"/>
  <c r="E20" i="6"/>
  <c r="F20" i="6" s="1"/>
  <c r="G20" i="6" s="1"/>
  <c r="F19" i="6"/>
  <c r="G19" i="6" s="1"/>
  <c r="E19" i="6"/>
  <c r="F18" i="6"/>
  <c r="G18" i="6" s="1"/>
  <c r="E18" i="6"/>
  <c r="F17" i="6"/>
  <c r="G17" i="6" s="1"/>
  <c r="E17" i="6"/>
  <c r="E16" i="6"/>
  <c r="F16" i="6" s="1"/>
  <c r="G16" i="6" s="1"/>
  <c r="G15" i="6"/>
  <c r="F15" i="6"/>
  <c r="E15" i="6"/>
  <c r="B9" i="6"/>
  <c r="B104" i="5"/>
  <c r="B103" i="5"/>
  <c r="B102" i="5"/>
  <c r="B101" i="5"/>
  <c r="B100" i="5"/>
  <c r="E39" i="5"/>
  <c r="D39" i="5"/>
  <c r="A39" i="5"/>
  <c r="D38" i="5"/>
  <c r="E38" i="5" s="1"/>
  <c r="A38" i="5"/>
  <c r="D37" i="5"/>
  <c r="E37" i="5" s="1"/>
  <c r="A37" i="5"/>
  <c r="D36" i="5"/>
  <c r="E36" i="5" s="1"/>
  <c r="A36" i="5"/>
  <c r="E35" i="5"/>
  <c r="D35" i="5"/>
  <c r="A35" i="5"/>
  <c r="B30" i="5"/>
  <c r="B28" i="5"/>
  <c r="B26" i="5"/>
  <c r="D19" i="5"/>
  <c r="D17" i="5"/>
  <c r="D16" i="5"/>
  <c r="B29" i="5" s="1"/>
  <c r="D15" i="5"/>
  <c r="D14" i="5"/>
  <c r="D20" i="5" s="1"/>
  <c r="D13" i="5"/>
  <c r="B8" i="5"/>
  <c r="B40" i="1"/>
  <c r="B39" i="1"/>
  <c r="B33" i="1"/>
  <c r="B27" i="1"/>
  <c r="B24" i="1"/>
  <c r="B43" i="1" s="1"/>
  <c r="B19" i="1"/>
  <c r="B26" i="1" s="1"/>
  <c r="B15" i="1"/>
  <c r="B14" i="1"/>
  <c r="B60" i="1" l="1"/>
  <c r="G60" i="1"/>
  <c r="E60" i="1"/>
  <c r="F60" i="1"/>
  <c r="B35" i="1"/>
  <c r="B42" i="1" s="1"/>
  <c r="D60" i="1"/>
  <c r="C60" i="1"/>
  <c r="G21" i="6"/>
  <c r="B25" i="6" s="1"/>
  <c r="B27" i="5"/>
  <c r="D18" i="5"/>
  <c r="B22" i="5" s="1"/>
  <c r="C28" i="5" l="1"/>
  <c r="D28" i="5" s="1"/>
  <c r="B37" i="5" s="1"/>
  <c r="F37" i="5" s="1"/>
  <c r="C30" i="5"/>
  <c r="D30" i="5" s="1"/>
  <c r="B39" i="5" s="1"/>
  <c r="F39" i="5" s="1"/>
  <c r="C27" i="5"/>
  <c r="C29" i="5"/>
  <c r="D29" i="5" s="1"/>
  <c r="B38" i="5" s="1"/>
  <c r="F38" i="5" s="1"/>
  <c r="C26" i="5"/>
  <c r="D26" i="5" s="1"/>
  <c r="D27" i="5"/>
  <c r="B36" i="5" s="1"/>
  <c r="F36" i="5" s="1"/>
  <c r="B31" i="5"/>
  <c r="B61" i="1"/>
  <c r="B35" i="5" l="1"/>
  <c r="D31" i="5"/>
  <c r="F35" i="5" l="1"/>
  <c r="F40" i="5" s="1"/>
  <c r="B43" i="5" s="1"/>
  <c r="B40" i="5"/>
</calcChain>
</file>

<file path=xl/sharedStrings.xml><?xml version="1.0" encoding="utf-8"?>
<sst xmlns="http://schemas.openxmlformats.org/spreadsheetml/2006/main" count="494" uniqueCount="424">
  <si>
    <t>U.S. Data Center Capital Spending Model</t>
  </si>
  <si>
    <t>CRE42.com | Blue = hardcoded input | Black = formula</t>
  </si>
  <si>
    <t>CRE42 ESTIMATE: U.S. DATA CENTER CAPEX, 2025–2030</t>
  </si>
  <si>
    <t>~$3.0 Trillion</t>
  </si>
  <si>
    <t>Average of 6 bottom-up scenarios (40%–85% AI share) + McKinsey top-down cross-check (6 values at $3,350B), rounded down from ~$3.1T.</t>
  </si>
  <si>
    <t>Methodology: McKinsey 606 TWh U.S. demand (2030) → GW conversion at 65% utilization → bottom-up cost model at varying AI shares → cross-checked vs. McKinsey top-down.</t>
  </si>
  <si>
    <t>A. McKinsey Published Projections</t>
  </si>
  <si>
    <t>McKinsey &amp; Co., 'AI's Power Binge' (Nov 2024); 'The cost of compute: A $7 trillion race' (Apr 2025); 'Next big shifts in data center design' (Dec 2025)</t>
  </si>
  <si>
    <t>Global data center capex through 2030</t>
  </si>
  <si>
    <t>$B</t>
  </si>
  <si>
    <t>McKinsey: $6.7T total (AI + non-AI)</t>
  </si>
  <si>
    <t xml:space="preserve">  Of which: AI-related capex</t>
  </si>
  <si>
    <t>McKinsey: $5.2T for AI workloads</t>
  </si>
  <si>
    <t xml:space="preserve">  Of which: Traditional/non-AI capex</t>
  </si>
  <si>
    <t>Residual</t>
  </si>
  <si>
    <t xml:space="preserve">  AI share of global capex</t>
  </si>
  <si>
    <t>U.S. data center demand by 2030</t>
  </si>
  <si>
    <t>TWh</t>
  </si>
  <si>
    <t>McKinsey U.S.-specific projection</t>
  </si>
  <si>
    <t>U.S. baseline demand (2023)</t>
  </si>
  <si>
    <t>McKinsey stated baseline</t>
  </si>
  <si>
    <t>U.S. incremental demand</t>
  </si>
  <si>
    <t>606 − 147 = 459 TWh new demand</t>
  </si>
  <si>
    <t>B. Convert TWh to GW (Capacity)</t>
  </si>
  <si>
    <t>Utilization / capacity factor</t>
  </si>
  <si>
    <t>65% for AI-heavy incremental demand. See 'Utilization Research' tab.</t>
  </si>
  <si>
    <t>Hours per year</t>
  </si>
  <si>
    <t>hrs</t>
  </si>
  <si>
    <t>TWh per GW per year</t>
  </si>
  <si>
    <t>TWh/GW/yr</t>
  </si>
  <si>
    <t>U.S. incremental GW needed</t>
  </si>
  <si>
    <t>GW</t>
  </si>
  <si>
    <t>459 TWh ÷ 5.694 TWh/GW/yr</t>
  </si>
  <si>
    <t>U.S. TOTAL installed GW by 2030</t>
  </si>
  <si>
    <t>C. GW to Dollars — Cost-Per-GW Model</t>
  </si>
  <si>
    <t>AI-optimized facility cost per GW</t>
  </si>
  <si>
    <t>$B/GW</t>
  </si>
  <si>
    <t>Facility ($19B) + IT hardware ($28B). See 'Cost per GW' tab.</t>
  </si>
  <si>
    <t>Traditional facility cost per GW</t>
  </si>
  <si>
    <t>Facility ($10.5B) + IT hardware ($5B)</t>
  </si>
  <si>
    <t>AI share of NEW capacity</t>
  </si>
  <si>
    <t>KEY ASSUMPTION — varies in sensitivity table below. McKinsey global = 77%.</t>
  </si>
  <si>
    <t>Blended cost per GW</t>
  </si>
  <si>
    <t>U.S. TOTAL CAPEX (bottom-up)</t>
  </si>
  <si>
    <t>At 60% AI share. See sensitivity table for range.</t>
  </si>
  <si>
    <t>D. Cross-Check vs. McKinsey Top-Down</t>
  </si>
  <si>
    <t>U.S. share of global DC investment</t>
  </si>
  <si>
    <t>50% based on Synergy (54% hyperscale), S&amp;P (&gt;40% increasing). See 'US Share Research' tab.</t>
  </si>
  <si>
    <t>McKinsey implied U.S. TOTAL capex</t>
  </si>
  <si>
    <t>McKinsey implied U.S. AI capex</t>
  </si>
  <si>
    <t>GAP: McKinsey top-down minus our bottom-up</t>
  </si>
  <si>
    <t>Positive = McKinsey higher than our model</t>
  </si>
  <si>
    <t>McKinsey implied cost per GW (global back-solve)</t>
  </si>
  <si>
    <t>E. Why the Gap Exists</t>
  </si>
  <si>
    <t>1. TIME PERIOD: McKinsey's 'through 2030' likely includes 2023–2024 spend already deployed (~$200–300B).</t>
  </si>
  <si>
    <t>2. SCOPE: McKinsey $6.7T may include opex-like items (maintenance capex, hardware refresh cycles).</t>
  </si>
  <si>
    <t>3. COST MODEL: McKinsey implied ~$42B/GW globally vs our ~$34B/GW blended (at 60% AI share).</t>
  </si>
  <si>
    <t xml:space="preserve">   → At 77% AI share (McKinsey's ratio), our bottom-up converges to ~$3.2T vs McKinsey $3.4T.</t>
  </si>
  <si>
    <t xml:space="preserve">   → Remaining gap likely explained by scope differences.</t>
  </si>
  <si>
    <t>4. UTILIZATION: 65% for AI-heavy incremental (fleet avg is 50% per LBNL). See Utilization Research tab.</t>
  </si>
  <si>
    <t>5. U.S. SHARE: 50%. Synergy (54% hyperscale), S&amp;P (&gt;40% increasing). See US Share Research tab.</t>
  </si>
  <si>
    <t>6. CONVERGENCE: At 77% AI share, our bottom-up ($3.2T) and McKinsey top-down ($3.4T) are within 6%.</t>
  </si>
  <si>
    <t>F. Sensitivity: U.S. Capex ($B) by AI Share</t>
  </si>
  <si>
    <t>McKinsey 606 TWh, 65% utilization, 50% U.S. share</t>
  </si>
  <si>
    <t>AI Share of New Capacity</t>
  </si>
  <si>
    <t>40%</t>
  </si>
  <si>
    <t>50%</t>
  </si>
  <si>
    <t>60%</t>
  </si>
  <si>
    <t>70%</t>
  </si>
  <si>
    <t>77%</t>
  </si>
  <si>
    <t>85%</t>
  </si>
  <si>
    <t>Bottom-up U.S. capex ($B)</t>
  </si>
  <si>
    <t>AVERAGE (all 12 data points)</t>
  </si>
  <si>
    <t>CRE42 estimate (rounded)</t>
  </si>
  <si>
    <t>~$3,000</t>
  </si>
  <si>
    <t>Average of 6 bottom-up scenarios + 6 McKinsey top-down = 12 data points → $3.1T, rounded to $3.0T</t>
  </si>
  <si>
    <t>Data Center Capacity Factor / Utilization Research</t>
  </si>
  <si>
    <t>Source / Context</t>
  </si>
  <si>
    <t>Utilization</t>
  </si>
  <si>
    <t>Category</t>
  </si>
  <si>
    <t>Details</t>
  </si>
  <si>
    <t>LBNL / DOE (Dec 2024)</t>
  </si>
  <si>
    <t>Overall fleet</t>
  </si>
  <si>
    <t>Used to convert TWh to GW. Covers ALL DC types. 325-580 TWh → 74-132 GW</t>
  </si>
  <si>
    <t>80-90%</t>
  </si>
  <si>
    <t>AI servers</t>
  </si>
  <si>
    <t>LBNL's own report: 'AI servers operate at 80-90% utilization'</t>
  </si>
  <si>
    <t>&lt;60%</t>
  </si>
  <si>
    <t>Non-AI servers</t>
  </si>
  <si>
    <t>LBNL: 'non-AI servers often run below 60%'</t>
  </si>
  <si>
    <t>SemiAnalysis (Mar 2024)</t>
  </si>
  <si>
    <t>AI GPU clusters</t>
  </si>
  <si>
    <t>Used 80% for DGX H100 cost modeling. 20,480 GPUs = 28-29 MW at 80%</t>
  </si>
  <si>
    <t>Congress.gov / CRS (2025)</t>
  </si>
  <si>
    <t>AI training run</t>
  </si>
  <si>
    <t>Study: training 8 hrs on 8 GPUs → 93% avg utilization during active training</t>
  </si>
  <si>
    <t>Google architect (via Tom's HW)</t>
  </si>
  <si>
    <t>60-70%</t>
  </si>
  <si>
    <t>CSP GPU fleet</t>
  </si>
  <si>
    <t>GPU utilization in cloud service providers = 60-70%. Higher rates shorten GPU life</t>
  </si>
  <si>
    <t>Power Policy blog (Aug 2025)</t>
  </si>
  <si>
    <t>varies</t>
  </si>
  <si>
    <t>CRITICAL NOTE</t>
  </si>
  <si>
    <t>Load factor ≠ capacity utilization. If peak = 80% of rated &amp; LF = 90%, true util = 72%</t>
  </si>
  <si>
    <t>Introl / industry (2025)</t>
  </si>
  <si>
    <t>85-96%</t>
  </si>
  <si>
    <t>Well-deployed AI</t>
  </si>
  <si>
    <t>Properly deployed AI systems achieve 85-96%; poorly planned = 40-60%</t>
  </si>
  <si>
    <t>Meta (Llama 3 training)</t>
  </si>
  <si>
    <t>~80%*</t>
  </si>
  <si>
    <t>Training cluster</t>
  </si>
  <si>
    <t>16K H100s, 466 interruptions in 54 days. High util but frequent hardware faults</t>
  </si>
  <si>
    <t>Energy Futures Group</t>
  </si>
  <si>
    <t>90-100%</t>
  </si>
  <si>
    <t>Load factor only</t>
  </si>
  <si>
    <t>'Large load DC high load factor 90-100%' — but this is load factor, NOT utilization</t>
  </si>
  <si>
    <t>ANALYSIS &amp; RECOMMENDATION</t>
  </si>
  <si>
    <t>KEY INSIGHT: The 50% LBNL number is a FLEET-WIDE average across ALL data centers (enterprise, cloud, AI).</t>
  </si>
  <si>
    <t>Our model converts INCREMENTAL demand to GW. Incremental demand is disproportionately AI-driven.</t>
  </si>
  <si>
    <t>AI-specific utilization: 60-90% depending on workload type (training higher, inference more variable).</t>
  </si>
  <si>
    <t>HOWEVER — direction matters for our model:</t>
  </si>
  <si>
    <t xml:space="preserve">  Higher utilization → FEWER GW needed per TWh → LESS total capex</t>
  </si>
  <si>
    <t xml:space="preserve">  Lower utilization → MORE GW needed per TWh → MORE total capex</t>
  </si>
  <si>
    <t>At 50% utilization: 459 TWh incremental → 104.8 GW → $3.6T (at 60% AI share)</t>
  </si>
  <si>
    <t>At 65% utilization: 459 TWh incremental → 80.6 GW → $2.8T (at 60% AI share)</t>
  </si>
  <si>
    <t>At 75% utilization: 459 TWh incremental → 69.9 GW → $2.4T (at 60% AI share)</t>
  </si>
  <si>
    <t>RECOMMENDATION: Use 65% for incremental capacity. Rationale:</t>
  </si>
  <si>
    <t xml:space="preserve">  - Incremental demand skews AI-heavy (McKinsey says 77% of new spend is AI)</t>
  </si>
  <si>
    <t xml:space="preserve">  - AI servers run 60-90%, midpoint ~75%, but facility overhead drags fleet util down</t>
  </si>
  <si>
    <t xml:space="preserve">  - 65% is conservative for AI-heavy mix while acknowledging non-AI demand exists</t>
  </si>
  <si>
    <t xml:space="preserve">  - Aligns with Google's reported 60-70% GPU utilization in CSP environments</t>
  </si>
  <si>
    <t xml:space="preserve">  - Also better aligns our bottom-up with McKinsey top-down (narrows the gap)</t>
  </si>
  <si>
    <t>U.S. Share of Global Data Center Investment — Source Analysis</t>
  </si>
  <si>
    <t>Source</t>
  </si>
  <si>
    <t>U.S. / N.Am Share</t>
  </si>
  <si>
    <t>Metric</t>
  </si>
  <si>
    <t>S&amp;P Global (Nov 2025)</t>
  </si>
  <si>
    <t>&gt;40%, increasing</t>
  </si>
  <si>
    <t>Capacity</t>
  </si>
  <si>
    <t>U.S. leads, &gt;40% of global total. 451 Research expects share to INCREASE.</t>
  </si>
  <si>
    <t>JLL 2026 Outlook</t>
  </si>
  <si>
    <t>~50%</t>
  </si>
  <si>
    <t>Capacity (GW)</t>
  </si>
  <si>
    <t>Americas = ~50% of global capacity. U.S. = ~90% of Americas. So U.S. ≈ 45%.</t>
  </si>
  <si>
    <t>Synergy Research (Q1 2025)</t>
  </si>
  <si>
    <t>54%</t>
  </si>
  <si>
    <t>Hyperscale capacity</t>
  </si>
  <si>
    <t>U.S. accounts for 54% of total hyperscale capacity globally.</t>
  </si>
  <si>
    <t>ABI Research (Jan 2026)</t>
  </si>
  <si>
    <t>42% → 49%</t>
  </si>
  <si>
    <t>IT capacity</t>
  </si>
  <si>
    <t>North Am = 42% in 2026, forecast to reach 49% by 2035.</t>
  </si>
  <si>
    <t>Global Market Insights (Dec 2025)</t>
  </si>
  <si>
    <t>~60%</t>
  </si>
  <si>
    <t>Operating capacity</t>
  </si>
  <si>
    <t>U.S. = ~60% of global operating DC capacity as of 2024.</t>
  </si>
  <si>
    <t>Precedence Research (Dec 2025)</t>
  </si>
  <si>
    <t>41%</t>
  </si>
  <si>
    <t>Market revenue</t>
  </si>
  <si>
    <t>North America market share 41% in 2025.</t>
  </si>
  <si>
    <t>Fortune Business Insights</t>
  </si>
  <si>
    <t>38.8%</t>
  </si>
  <si>
    <t>North America market share 38.83% in 2024.</t>
  </si>
  <si>
    <t>Grand View Research</t>
  </si>
  <si>
    <t>38.3-40.1%</t>
  </si>
  <si>
    <t>North America revenue share 38.3-40.1% in 2024-2025.</t>
  </si>
  <si>
    <t>SkyQuest (Dec 2025)</t>
  </si>
  <si>
    <t>42.2%</t>
  </si>
  <si>
    <t>North America market share 42.2% in 2024.</t>
  </si>
  <si>
    <t>McKinsey (cited by GDCH)</t>
  </si>
  <si>
    <t>~40%</t>
  </si>
  <si>
    <t>Capex spend</t>
  </si>
  <si>
    <t>U.S. commanding about 40% of total [global] spend.</t>
  </si>
  <si>
    <t>BCG (Oct 2025)</t>
  </si>
  <si>
    <t>$1.8T U.S.</t>
  </si>
  <si>
    <t>Hyperscaler capex</t>
  </si>
  <si>
    <t>Hyperscalers alone = $1.8T capex in U.S. from 2024-2030.</t>
  </si>
  <si>
    <t>Dell'Oro (Aug 2025)</t>
  </si>
  <si>
    <t>Top 4 CSPs</t>
  </si>
  <si>
    <t>Top 4 U.S.-based CSPs = nearly half of GLOBAL DC capex in 2025.</t>
  </si>
  <si>
    <t>What you measure matters — U.S. share varies by metric:</t>
  </si>
  <si>
    <t xml:space="preserve">  MARKET REVENUE (broader, includes services): 38-42% for North America</t>
  </si>
  <si>
    <t xml:space="preserve">  TOTAL CAPACITY (GW, all types): 40-50% for U.S.</t>
  </si>
  <si>
    <t xml:space="preserve">  HYPERSCALE CAPACITY: 54% for U.S. (Synergy Research)</t>
  </si>
  <si>
    <t xml:space="preserve">  OPERATING CAPACITY: ~60% for U.S. (Global Market Insights)</t>
  </si>
  <si>
    <t xml:space="preserve">  CAPEX INVESTMENT: ~40% (McKinsey cited) to ~50% (Dell'Oro top 4 CSPs)</t>
  </si>
  <si>
    <t>WHY THE U.S. SHARE IS LIKELY HIGHER THAN 40% FOR CAPEX:</t>
  </si>
  <si>
    <t xml:space="preserve">  1. All 5 major hyperscalers are U.S.-based (MSFT, AMZN, GOOG, META, AAPL)</t>
  </si>
  <si>
    <t xml:space="preserve">  2. Dell'Oro: Top 4 U.S. CSPs alone = ~50% of GLOBAL DC capex</t>
  </si>
  <si>
    <t xml:space="preserve">  3. Most hyperscaler capex goes to U.S. facilities first (regulatory ease, power access)</t>
  </si>
  <si>
    <t xml:space="preserve">  4. S&amp;P Global explicitly says U.S. share is INCREASING, not stable</t>
  </si>
  <si>
    <t xml:space="preserve">  5. ABI Research forecasts North America going from 42% to 49% by 2035</t>
  </si>
  <si>
    <t>RECOMMENDATION: Use 50% for U.S. share of global DC capex. Rationale:</t>
  </si>
  <si>
    <t xml:space="preserve">  - 40% is the floor (McKinsey, revenue-based metrics)</t>
  </si>
  <si>
    <t xml:space="preserve">  - 54-60% is the ceiling (hyperscale capacity, operating capacity)</t>
  </si>
  <si>
    <t xml:space="preserve">  - 50% reflects that incremental capex skews toward hyperscalers (U.S.-based)</t>
  </si>
  <si>
    <t xml:space="preserve">  - BCG's $1.8T U.S. hyperscaler number alone implies significant U.S. concentration</t>
  </si>
  <si>
    <t xml:space="preserve">  - Conservative relative to GMI's 60% and Synergy's 54% hyperscale numbers</t>
  </si>
  <si>
    <t>GW → TWh Conversion: Methodology &amp; Sources</t>
  </si>
  <si>
    <t>Establishing a defensible, source-backed conversion factor for standardizing data center forecasts</t>
  </si>
  <si>
    <t>THE CONVERSION PROBLEM</t>
  </si>
  <si>
    <t>Why GW ≠ TWh</t>
  </si>
  <si>
    <t>GW measures instantaneous power capacity (how much a facility CAN draw at any moment). TWh measures energy consumed over a year (how much it ACTUALLY draws, integrated over time). The relationship depends on how heavily facilities are utilized.</t>
  </si>
  <si>
    <t>The Formula</t>
  </si>
  <si>
    <t>TWh = GW × 8,760 hours/year × Utilization Rate</t>
  </si>
  <si>
    <t>At 50%: 1 GW = 4.38 TWh
At 60%: 1 GW = 5.26 TWh
At 70%: 1 GW = 6.13 TWh</t>
  </si>
  <si>
    <t>UTILIZATION RATE: SOURCE EVIDENCE</t>
  </si>
  <si>
    <t>LBNL / DOE (Primary Source)</t>
  </si>
  <si>
    <t>LBNL explicitly uses 50% average capacity utilization across ALL U.S. data centers. Their report states: 'Assuming an average capacity utilization rate of 50%, this annual energy use range would translate to a total power demand for data centers between 74 and 132 GW.' This maps 325-580 TWh → 74-132 GW perfectly at 50%.</t>
  </si>
  <si>
    <t>Source: LBNL-2001637, p.5
(Dec 2024)</t>
  </si>
  <si>
    <t>Why 50% Makes Sense</t>
  </si>
  <si>
    <t>Data centers are designed with significant redundancy (N+1 or 2N power). Not all racks are populated. Enterprise DCs run at ~30-40% utilization; hyperscale at ~60-70%. Blended across ALL types (enterprise, colo, hyperscale, edge), 50% is a reasonable weighted average. LBNL's bottom-up model validates this.</t>
  </si>
  <si>
    <t>Supported by Uptime Institute
annual survey data</t>
  </si>
  <si>
    <t>McKinsey Cross-Check</t>
  </si>
  <si>
    <t>McKinsey: &gt;80 GW → 606 TWh implies 86% utilization — significantly higher than LBNL's 50%. Possible explanation: McKinsey's '&gt;80 GW' may refer to IT load capacity only, while their 606 TWh includes total facility consumption (IT × PUE of ~1.3-1.5). If PUE = 1.4, then total facility = 112 GW, and 606/(112 × 8,760) = 62% — closer to LBNL.</t>
  </si>
  <si>
    <t>Suggests McKinsey and LBNL
may not be as far apart
as they appear</t>
  </si>
  <si>
    <t>OUR ADOPTED CONVERSION</t>
  </si>
  <si>
    <t>Standard Factor</t>
  </si>
  <si>
    <t>1 GW of total data center capacity = 4.38 TWh/year
(50% utilization × 8,760 hours, per LBNL methodology)</t>
  </si>
  <si>
    <t>LBNL is the authoritative
U.S. government source</t>
  </si>
  <si>
    <t>Sensitivity Range</t>
  </si>
  <si>
    <t>Low (40% util): 1 GW = 3.50 TWh — represents older enterprise fleet
Mid (50% util): 1 GW = 4.38 TWh — LBNL standard
High (60% util): 1 GW = 5.26 TWh — hyperscale-heavy future mix</t>
  </si>
  <si>
    <t>Range shown for transparency;
50% used as default</t>
  </si>
  <si>
    <t>Important Caveat</t>
  </si>
  <si>
    <t>As the DC mix shifts toward hyperscale/AI (higher utilization), the blended rate may drift toward 55-60% by 2030. This would mean GW-based estimates convert to HIGHER TWh than our 50% factor suggests. We flag this but use 50% for consistency with LBNL.</t>
  </si>
  <si>
    <t>U.S. Railroad Capital Expenditure: CPI Adjustment to 2025 Dollars</t>
  </si>
  <si>
    <t>Period: 1860–1910</t>
  </si>
  <si>
    <t>Prepared for CRE42.com</t>
  </si>
  <si>
    <t>STEP 1: KNOWN DATA POINTS (primary sources only)</t>
  </si>
  <si>
    <t>Railroad capitalization, 1860</t>
  </si>
  <si>
    <t>$B nominal</t>
  </si>
  <si>
    <t>1860 U.S. Census, Preliminary Report, Table 38</t>
  </si>
  <si>
    <t>Capital invested in railroads, 1890</t>
  </si>
  <si>
    <t>Hornbeck &amp; Rotemberg (2024), U. Chicago / NBER</t>
  </si>
  <si>
    <t>Net new capital, 1860–1890</t>
  </si>
  <si>
    <t>Calculated: B7 minus B6</t>
  </si>
  <si>
    <t>CPI 2025 annual average (1967=100)</t>
  </si>
  <si>
    <t>Federal Reserve Bank of Minneapolis</t>
  </si>
  <si>
    <t>STEP 2: MILEAGE AND COST-PER-MILE RATIO</t>
  </si>
  <si>
    <t>Decade</t>
  </si>
  <si>
    <t>Miles at Start</t>
  </si>
  <si>
    <t>Miles at End</t>
  </si>
  <si>
    <t>Miles Built</t>
  </si>
  <si>
    <t>Data Quality</t>
  </si>
  <si>
    <t>1860–1869</t>
  </si>
  <si>
    <t>Primary (Census/LOC/AAR)</t>
  </si>
  <si>
    <t>1870–1879</t>
  </si>
  <si>
    <t>1880–1889</t>
  </si>
  <si>
    <t>1890–1899</t>
  </si>
  <si>
    <t>Primary (LOC/AAR)</t>
  </si>
  <si>
    <t>1900–1909</t>
  </si>
  <si>
    <t>Primary (AAR)</t>
  </si>
  <si>
    <t>Known period (1860–1890)</t>
  </si>
  <si>
    <t>Estimated period (1890–1910)</t>
  </si>
  <si>
    <t>TOTAL (1860–1910)</t>
  </si>
  <si>
    <t>COST PER MILE (known period):</t>
  </si>
  <si>
    <t>per mile (nominal avg)</t>
  </si>
  <si>
    <t>Calculated: B8 / D18</t>
  </si>
  <si>
    <t>STEP 3: NOMINAL SPENDING BY DECADE</t>
  </si>
  <si>
    <t>Cost/Mile ($)</t>
  </si>
  <si>
    <t>Nominal Spend ($B)</t>
  </si>
  <si>
    <t>Basis</t>
  </si>
  <si>
    <t>Known (Census/NBER)</t>
  </si>
  <si>
    <t>Estimated (cost/mile ratio)</t>
  </si>
  <si>
    <t>TOTAL</t>
  </si>
  <si>
    <t>STEP 4: CPI ADJUSTMENT TO 2025 DOLLARS</t>
  </si>
  <si>
    <t>Avg Decade CPI
(1967=100)</t>
  </si>
  <si>
    <t>CPI 2025</t>
  </si>
  <si>
    <t>CPI Multiplier</t>
  </si>
  <si>
    <t>2025 Dollars ($B)</t>
  </si>
  <si>
    <t>RESULT:</t>
  </si>
  <si>
    <t>U.S. Railroad Capital Expenditure, 1860–1910</t>
  </si>
  <si>
    <t>APPENDIX: CPI RAW DATA (Minneapolis Fed, 1967=100)</t>
  </si>
  <si>
    <t>Year</t>
  </si>
  <si>
    <t>CPI Index</t>
  </si>
  <si>
    <t>Decade Averages (computed):</t>
  </si>
  <si>
    <t>1860s Avg</t>
  </si>
  <si>
    <t>1870s Avg</t>
  </si>
  <si>
    <t>1880s Avg</t>
  </si>
  <si>
    <t>1890s Avg</t>
  </si>
  <si>
    <t>1900s Avg</t>
  </si>
  <si>
    <t>Document Links</t>
  </si>
  <si>
    <t>Minneapolis Fed CPI, 1800–present</t>
  </si>
  <si>
    <t>https://www.minneapolisfed.org/about-us/monetary-policy/inflation-calculator/consumer-price-index-1800-</t>
  </si>
  <si>
    <t>1860 U.S. Census — Railroad Statistics</t>
  </si>
  <si>
    <t>https://www2.census.gov/library/publications/decennial/1860/statistics/1860d-13.pdf</t>
  </si>
  <si>
    <t>https://bfi.uchicago.edu/insight/research-summary/railroads-reallocation-and-the-rise-of-american-manufacturing/</t>
  </si>
  <si>
    <t>FRED — Miles of Railroad Built (NBER series)</t>
  </si>
  <si>
    <t>https://fred.stlouisfed.org/series/A02F2AUSA374NNBR</t>
  </si>
  <si>
    <t>Library of Congress — Railroads in Late 19th Century</t>
  </si>
  <si>
    <t>https://www.loc.gov/classroom-materials/united-states-history-primary-source-timeline/rise-of-industrial-america-1876-1900/railroads-in-late-19th-century/</t>
  </si>
  <si>
    <t>AAR — Short History of U.S. Freight Railroads</t>
  </si>
  <si>
    <t>https://www.aar.org/wp-content/uploads/2018/05/AAR-Short-History-American-Freight-Railroads.pdf</t>
  </si>
  <si>
    <t>Transport Geography — Rail Mileage 1830–2020 (Rodrigue 2024)</t>
  </si>
  <si>
    <t>https://transportgeography.org/contents/chapter5/rail-transportation-pipelines/rail-track-mileage-united-states/</t>
  </si>
  <si>
    <t>U.S. Dot-Com / Telecom Boom Capital Expenditure: CPI Adjustment to 2025 Dollars</t>
  </si>
  <si>
    <t>Period: 1996–2001 (Telecom Act / Dot-Com Boom)</t>
  </si>
  <si>
    <t>Period total capex, 1996–2001</t>
  </si>
  <si>
    <t>USTelecom Broadband Capex Report (6yr × $85.6B avg)</t>
  </si>
  <si>
    <t>Annual capex, 2000</t>
  </si>
  <si>
    <t>USTelecom (reported by NRTC, TV Tech)</t>
  </si>
  <si>
    <t>Annual capex, 2001</t>
  </si>
  <si>
    <t>Remaining 1996–1999 (derived)</t>
  </si>
  <si>
    <t>Calculated: B6 minus B7 minus B8</t>
  </si>
  <si>
    <t>STEP 2: ANNUAL SPENDING (known + estimated)</t>
  </si>
  <si>
    <t>Note: Spending "nearly tripled" from 1996 to 2000 per TIA/CSFB. 1996–1999 are estimated to fit the known $284B subtotal.</t>
  </si>
  <si>
    <t>Capex ($B nominal)</t>
  </si>
  <si>
    <t>CPI (1967=100)</t>
  </si>
  <si>
    <t>Estimated (ramp)</t>
  </si>
  <si>
    <t>USTelecom (reported)</t>
  </si>
  <si>
    <t>Verification: Est. 1996-1999 subtotal</t>
  </si>
  <si>
    <t>Should equal $284.0 (=B9)</t>
  </si>
  <si>
    <t>U.S. Telecom/Internet Infrastructure Capex, 1996–2001</t>
  </si>
  <si>
    <t>SCOPE NOTE</t>
  </si>
  <si>
    <t>USTelecom capex covers wireline, wireless, and cable broadband providers (major carriers only).</t>
  </si>
  <si>
    <t>Excludes: satellite providers, electric cooperatives, smaller ISPs (~$2B+ additional per USTelecom).</t>
  </si>
  <si>
    <t>Excludes: enterprise IT spending on networking, dot-com company server buildouts, etc.</t>
  </si>
  <si>
    <t>The Richmond Fed (Couper, Hejkal &amp; Wolman, 2003) using BEA NIPA data reports broader economy-wide</t>
  </si>
  <si>
    <t>communications equipment investment of $62B→$135B/yr (1996 dollars) over the same period.</t>
  </si>
  <si>
    <t>The USTelecom figure is narrower (provider capex only) but more precisely sourced from company filings.</t>
  </si>
  <si>
    <t>USTelecom — 2024 Broadband Capex Report</t>
  </si>
  <si>
    <t>https://ustelecom.org/research/2024-broadband-capex-report/</t>
  </si>
  <si>
    <t>USTelecom — Historical Broadband Provider Capex (methodology)</t>
  </si>
  <si>
    <t>https://ustelecom.org/wp-content/uploads/2018/12/Broadband-Investment-Historical-Broadband-Provider-Capex.pdf</t>
  </si>
  <si>
    <t>NRTC — $102.4B Highest Capex in 21 Years (2000/2001 data)</t>
  </si>
  <si>
    <t>https://www.nrtc.coop/102-4-billion-is-highest-broadband-capex-in-21-years-ustelecom-says/</t>
  </si>
  <si>
    <t>Richmond Fed — Boom and Bust in Telecommunications (2003)</t>
  </si>
  <si>
    <t>https://www.richmondfed.org/publications/research/economic_quarterly/2003/fall/couperhejkalwolman</t>
  </si>
  <si>
    <t>Richmond Fed — Full PDF (Couper, Hejkal &amp; Wolman)</t>
  </si>
  <si>
    <t>https://www.richmondfed.org/~/media/richmondfedorg/publications/research/economic_quarterly/2003/fall/pdf/wolman.pdf</t>
  </si>
  <si>
    <t>TIA — Investment, Capital Spending &amp; Service Quality filing</t>
  </si>
  <si>
    <t>https://standards.tiaonline.org/gov_affairs/fcc_filings/documents/Nov13-2002_CapEx_QoS_Final.pdf</t>
  </si>
  <si>
    <t>Minneapolis Fed — CPI, 1800–present</t>
  </si>
  <si>
    <t>Inside Towers — USTelecom 2024 Capex Report (period averages)</t>
  </si>
  <si>
    <t>https://insidetowers.com/ustelecom-capex-report-says-near-record-high-investment-in-u-s-broadband-infrastructure-continues/</t>
  </si>
  <si>
    <t>Source Citations — Data Center Cost Model</t>
  </si>
  <si>
    <t>#</t>
  </si>
  <si>
    <t>Key Data Points Used</t>
  </si>
  <si>
    <t>Date / Vintage</t>
  </si>
  <si>
    <t>URL / Reference</t>
  </si>
  <si>
    <t>McKinsey &amp; Company</t>
  </si>
  <si>
    <t>$5.2T AI investment by 2030; 15/25/60% split (builders/energizers/tech); 156 GW AI capacity; $1.7T infra (excl. hardware); $300B hyperscaler capex in 2025</t>
  </si>
  <si>
    <t>Apr 2025</t>
  </si>
  <si>
    <t>mckinsey.com — 'The cost of compute'</t>
  </si>
  <si>
    <t>$20–$30M/MW for hyperscaler new builds; $4–$7M/MW retrofit; 25 GW (2024) → 80+ GW (2030) U.S.; training vs. inference power density differences</t>
  </si>
  <si>
    <t>Dec 2025 / Aug 2025</t>
  </si>
  <si>
    <t>mckinsey.com — 'Next big shifts' &amp; 'Scaling bigger, faster, cheaper'</t>
  </si>
  <si>
    <t>Cushman &amp; Wakefield</t>
  </si>
  <si>
    <t>Land: $5.59/sqft avg (2024), $5.38 hyperscaler; 224-acre avg parcel (up 144% since 2022); 23% YoY increase for 50+ acre parcels</t>
  </si>
  <si>
    <t>Dec 2024</t>
  </si>
  <si>
    <t>cushmanwakefield.com — 2025 DC Development Cost Guide</t>
  </si>
  <si>
    <t>Dgtl Infra</t>
  </si>
  <si>
    <t>Facility cost: $7–$12M/MW; $600–$1,100/sqft; Electrical 40–45%, HVAC 15–20%, Fit-out 20–25%; Land 15–20%; Digital Realty: $12M/MW, $1,050/sqft</t>
  </si>
  <si>
    <t>Jun 2024</t>
  </si>
  <si>
    <t>dgtlinfra.com — 'How much does it cost to build a data center?'</t>
  </si>
  <si>
    <t>Turner &amp; Townsend</t>
  </si>
  <si>
    <t>Global DC construction cost index; $/W benchmarks across 52 markets; 73% of leaders view sector as recession-proof</t>
  </si>
  <si>
    <t>May 2025</t>
  </si>
  <si>
    <t>turnerandtownsend.com — DC Cost Index 2025–2026</t>
  </si>
  <si>
    <t>Bernstein Research</t>
  </si>
  <si>
    <t>~$35B per GW for AI facility (all-in)</t>
  </si>
  <si>
    <t>2025</t>
  </si>
  <si>
    <t>Cited in FT, Medium analysis (Agostini)</t>
  </si>
  <si>
    <t>NVIDIA (leadership)</t>
  </si>
  <si>
    <t>$60–$80B per GW total AI factory cost; ~$40–50B for NVIDIA chips/systems (revised from initial $50–60B estimate)</t>
  </si>
  <si>
    <t>Jensen Huang, NVIDIA Q2 FY2026 earnings call, Aug 2025; CNBC Sep 2025; Barclays/Benzinga analysis Oct 2025</t>
  </si>
  <si>
    <t>Asterisk / Epoch AI</t>
  </si>
  <si>
    <t>$10B facility + $20B chips = $30B per GW; $3.5B for dedicated gas power plant per GW</t>
  </si>
  <si>
    <t>asteriskmag.com — 'Can We Build a Five Gigawatt Data Center?'</t>
  </si>
  <si>
    <t>Thunder Said Energy</t>
  </si>
  <si>
    <t>$10M/MW traditional capex; $40K/kW ($40B/GW) for AI including GPUs; 135 GW global capacity (2025)</t>
  </si>
  <si>
    <t>Nov 2025</t>
  </si>
  <si>
    <t>thundersaidenergy.com</t>
  </si>
  <si>
    <t>ConstructConnect</t>
  </si>
  <si>
    <t>YTD 2025 DC starts: $40B through Aug; avg project cost $499M; avg $/sqft up 47% YoY; $977/sqft</t>
  </si>
  <si>
    <t>constructconnect.com</t>
  </si>
  <si>
    <t>Deloitte</t>
  </si>
  <si>
    <t>4 GW AI DC in 2024 → 123 GW by 2035; 50,000-acre campuses at 5 GW planned; grid stress #1 challenge</t>
  </si>
  <si>
    <t>Jun 2025</t>
  </si>
  <si>
    <t>deloitte.com — 'Can US infrastructure keep up with the AI economy?'</t>
  </si>
  <si>
    <t>Vertiv</t>
  </si>
  <si>
    <t>$9–$10.50 per watt of IT capacity in N. America; AI power density 2–4 kW → 40+ kW/rack</t>
  </si>
  <si>
    <t>2024</t>
  </si>
  <si>
    <t>vertiv.com — 'Cost impact of AI data center design'</t>
  </si>
  <si>
    <t>CTVC / Sightline</t>
  </si>
  <si>
    <t>Median tracked DC investment: $800M (~$5.5M/MW installed); AI facilities 5–6× more capital intensive</t>
  </si>
  <si>
    <t>Aug 2025</t>
  </si>
  <si>
    <t>ctvc.co — 'The data center report'</t>
  </si>
  <si>
    <t>ECL (TerraSite-TX1)</t>
  </si>
  <si>
    <t>1 GW off-grid hydrogen campus near Houston: $8B total; Phase 1: 50 MW for $450M</t>
  </si>
  <si>
    <t>2024 announced</t>
  </si>
  <si>
    <t>datacenterfrontier.com</t>
  </si>
  <si>
    <t>BlueCap Economic Advisors</t>
  </si>
  <si>
    <t>Electrical 40–45% of total; HVAC 15–20%; land 15–20%; AI &gt;$20M/MW</t>
  </si>
  <si>
    <t>Jul 2025</t>
  </si>
  <si>
    <t>bluecapeconomicadvisors.com</t>
  </si>
  <si>
    <t>Uptime Institute</t>
  </si>
  <si>
    <t>Tier III enterprise: ~$12M/MW in 2010; costs rising post-pandemic; MEP 30–50% of budget</t>
  </si>
  <si>
    <t>Mar 2023</t>
  </si>
  <si>
    <t>journal.uptimeinstitute.com</t>
  </si>
  <si>
    <t>SoftwareSeni</t>
  </si>
  <si>
    <t>GPU procurement 35–45% of AI infra capex; $20B chips + $10B facility per GW; networking 10–15%</t>
  </si>
  <si>
    <t>softwareseni.com</t>
  </si>
  <si>
    <t>Key Methodology Notes &amp; Caveats</t>
  </si>
  <si>
    <t>APPROACH</t>
  </si>
  <si>
    <t>This model synthesizes cost estimates from 17 sources to build a bottom-up cost-per-GW breakdown for both traditional and AI-optimized data centers. The model distinguishes three cost layers: (1) facility/infrastructure, (2) IT hardware/chips, and (3) optional dedicated power generation. This separation is critical because most industry figures conflate some or all of these layers.</t>
  </si>
  <si>
    <t>KEY DISTINCTIONS</t>
  </si>
  <si>
    <t>Traditional Data Center: $7–12M/MW facility cost ($7–12B/GW). Designed for enterprise/cloud workloads at 5–10 kW per rack. Air cooled. IT hardware (commodity servers) adds ~$5B/GW. Total: ~$15–17B/GW.</t>
  </si>
  <si>
    <t>AI-Optimized Data Center: $20–30M/MW facility cost ($20–30B/GW) per McKinsey. GPU-dense at 40–130 kW per rack. Requires liquid cooling. IT hardware (GPUs at $25–40K each) adds ~$28B/GW. Total: ~$47B/GW.</t>
  </si>
  <si>
    <t>WHY ESTIMATES VARY SO WIDELY</t>
  </si>
  <si>
    <t>1. Scope: Some figures include only the 'facility' (core/shell + MEP). Others include IT hardware. A few include dedicated power generation. The McKinsey $5.2T figure includes all three layers.</t>
  </si>
  <si>
    <t>2. Facility type: Colocation shell ($5.5M/MW per CTVC) vs. hyperscaler turn-key ($12M/MW per Digital Realty) vs. AI-ready ($20M+/MW).</t>
  </si>
  <si>
    <t>3. IT hardware cost: The single biggest variable. A traditional DC might have $5B/GW in servers. An AI factory has $20–30B/GW in GPUs alone. NVIDIA's dominance (90% AI chip market) creates pricing power.</t>
  </si>
  <si>
    <t>4. Geography: U.S. averages $9.5M/MW; Europe (Frankfurt/London) ~$14M/MW; Asia varies widely.</t>
  </si>
  <si>
    <t>MAPPING TO CRE42 CATEGORIES</t>
  </si>
  <si>
    <t>The user's requested breakdown (Core/Shell, Utility Infrastructure, Chips, Other) maps to our model as follows:</t>
  </si>
  <si>
    <t xml:space="preserve">  • Core &amp; Shell → Land + Core &amp; Shell + Fit-Out = $3.5–$5.5B/GW (AI)</t>
  </si>
  <si>
    <t xml:space="preserve">  • Utility Infrastructure → Electrical + Mechanical/Cooling + Dedicated Power = $12.0–$15.5B/GW (AI + gas plant)</t>
  </si>
  <si>
    <t xml:space="preserve">  • Chips → GPUs + CPUs + Memory = $25–$28B/GW (AI)</t>
  </si>
  <si>
    <t xml:space="preserve">  • Other → Networking + Connectivity = $1.5B/GW (AI)</t>
  </si>
  <si>
    <t>CROSS-CHECK VS. McKINSEY</t>
  </si>
  <si>
    <t>McKinsey's $5.2T for 156 GW implies $33.3B/GW all-in for AI. Our model yields ~$47B/GW for a fully equipped AI factory — higher because McKinsey's 156 GW includes some lower-cost inference and mixed-use facilities, not all pure AI training factories. The range of $30–$50B/GW depending on workload mix is well-supported by external estimates (Bernstein: $35B, NVIDIA: $50–60B, Asterisk: $30B).</t>
  </si>
  <si>
    <t>DATA VINTAGE</t>
  </si>
  <si>
    <t>All cost data reflects 2024–2025 estimates. Construction costs are rising: ConstructConnect reports 47% YoY increase in per-sqft costs as of Aug 2025. GPU costs may decline as competition from AMD, Intel, and custom chips (Google TPU, Amazon Trainium) increases.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</si>
</sst>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17" x14ac:knownFonts="1">
    <font>
      <sz val="11"/>
      <color theme="1"/>
      <name val="Calibri"/>
      <family val="2"/>
      <charset val="1"/>
    </font>
    <font>
      <b/>
      <sz val="13"/>
      <color rgb="FFA31F34"/>
      <name val="Arial"/>
      <charset val="1"/>
    </font>
    <font>
      <sz val="10"/>
      <color rgb="FF5A5A5A"/>
      <name val="Arial"/>
      <charset val="1"/>
    </font>
    <font>
      <b/>
      <sz val="12"/>
      <color rgb="FFA31F34"/>
      <name val="Arial"/>
      <charset val="1"/>
    </font>
    <font>
      <b/>
      <sz val="16"/>
      <color rgb="FFA31F34"/>
      <name val="Arial"/>
      <charset val="1"/>
    </font>
    <font>
      <sz val="9"/>
      <color rgb="FF5A5A5A"/>
      <name val="Arial"/>
      <charset val="1"/>
    </font>
    <font>
      <b/>
      <sz val="11"/>
      <color rgb="FFA31F34"/>
      <name val="Arial"/>
      <charset val="1"/>
    </font>
    <font>
      <sz val="9"/>
      <color rgb="FF666666"/>
      <name val="Arial"/>
      <charset val="1"/>
    </font>
    <font>
      <sz val="10"/>
      <name val="Arial"/>
      <charset val="1"/>
    </font>
    <font>
      <sz val="11"/>
      <color rgb="FF0000FF"/>
      <name val="Arial"/>
      <charset val="1"/>
    </font>
    <font>
      <sz val="11"/>
      <color rgb="FF000000"/>
      <name val="Arial"/>
      <charset val="1"/>
    </font>
    <font>
      <b/>
      <sz val="10"/>
      <name val="Arial"/>
      <charset val="1"/>
    </font>
    <font>
      <b/>
      <sz val="12"/>
      <name val="Arial"/>
      <charset val="1"/>
    </font>
    <font>
      <b/>
      <sz val="10"/>
      <color rgb="FFFFFFFF"/>
      <name val="Arial"/>
      <charset val="1"/>
    </font>
    <font>
      <b/>
      <sz val="11"/>
      <name val="Arial"/>
      <charset val="1"/>
    </font>
    <font>
      <b/>
      <sz val="11"/>
      <color rgb="FFFFFFFF"/>
      <name val="Arial"/>
      <charset val="1"/>
    </font>
    <font>
      <b/>
      <sz val="10"/>
      <color rgb="FFA31F34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3E0"/>
        <bgColor rgb="FFF7F3F5"/>
      </patternFill>
    </fill>
    <fill>
      <patternFill patternType="solid">
        <fgColor rgb="FFA31F34"/>
        <bgColor rgb="FF993366"/>
      </patternFill>
    </fill>
    <fill>
      <patternFill patternType="solid">
        <fgColor rgb="FFF7F3F5"/>
        <bgColor rgb="FFFFF3E0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31F34"/>
      </bottom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3" fontId="9" fillId="0" borderId="0" xfId="0" applyNumberFormat="1" applyFont="1"/>
    <xf numFmtId="0" fontId="5" fillId="0" borderId="0" xfId="0" applyFont="1"/>
    <xf numFmtId="0" fontId="10" fillId="0" borderId="0" xfId="0" applyFont="1"/>
    <xf numFmtId="164" fontId="10" fillId="0" borderId="0" xfId="0" applyNumberFormat="1" applyFont="1"/>
    <xf numFmtId="9" fontId="9" fillId="0" borderId="0" xfId="0" applyNumberFormat="1" applyFont="1"/>
    <xf numFmtId="165" fontId="10" fillId="0" borderId="0" xfId="0" applyNumberFormat="1" applyFont="1"/>
    <xf numFmtId="0" fontId="11" fillId="0" borderId="0" xfId="0" applyFont="1"/>
    <xf numFmtId="166" fontId="10" fillId="0" borderId="0" xfId="0" applyNumberFormat="1" applyFont="1"/>
    <xf numFmtId="0" fontId="9" fillId="0" borderId="0" xfId="0" applyFont="1"/>
    <xf numFmtId="0" fontId="3" fillId="0" borderId="0" xfId="0" applyFont="1"/>
    <xf numFmtId="3" fontId="12" fillId="0" borderId="0" xfId="0" applyNumberFormat="1" applyFont="1"/>
    <xf numFmtId="3" fontId="10" fillId="0" borderId="0" xfId="0" applyNumberFormat="1" applyFont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1" fillId="4" borderId="2" xfId="0" applyFont="1" applyFill="1" applyBorder="1"/>
    <xf numFmtId="3" fontId="10" fillId="4" borderId="2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4" fillId="0" borderId="0" xfId="0" applyFont="1"/>
    <xf numFmtId="3" fontId="8" fillId="0" borderId="0" xfId="0" applyNumberFormat="1" applyFont="1"/>
    <xf numFmtId="0" fontId="15" fillId="3" borderId="0" xfId="0" applyFont="1" applyFill="1"/>
    <xf numFmtId="9" fontId="8" fillId="0" borderId="0" xfId="0" applyNumberFormat="1" applyFont="1"/>
    <xf numFmtId="0" fontId="1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A5A5A"/>
      <rgbColor rgb="FF9999FF"/>
      <rgbColor rgb="FFA31F34"/>
      <rgbColor rgb="FFFFF3E0"/>
      <rgbColor rgb="FFF7F3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workbookViewId="0">
      <selection activeCell="C24" sqref="C24"/>
    </sheetView>
  </sheetViews>
  <sheetFormatPr defaultColWidth="8.7109375" defaultRowHeight="15" x14ac:dyDescent="0.25"/>
  <cols>
    <col min="1" max="1" width="48" customWidth="1"/>
    <col min="2" max="7" width="15" customWidth="1"/>
  </cols>
  <sheetData>
    <row r="1" spans="1:4" ht="15.75" customHeight="1" x14ac:dyDescent="0.25">
      <c r="A1" s="1" t="s">
        <v>0</v>
      </c>
    </row>
    <row r="2" spans="1:4" ht="15" customHeight="1" x14ac:dyDescent="0.25">
      <c r="A2" s="2" t="s">
        <v>1</v>
      </c>
    </row>
    <row r="4" spans="1:4" ht="15" customHeight="1" x14ac:dyDescent="0.25">
      <c r="A4" s="3" t="s">
        <v>2</v>
      </c>
      <c r="B4" s="4"/>
      <c r="C4" s="4"/>
      <c r="D4" s="4"/>
    </row>
    <row r="5" spans="1:4" ht="19.5" customHeight="1" x14ac:dyDescent="0.3">
      <c r="A5" s="5" t="s">
        <v>3</v>
      </c>
      <c r="B5" s="4"/>
      <c r="C5" s="4"/>
      <c r="D5" s="4"/>
    </row>
    <row r="6" spans="1:4" ht="15" customHeight="1" x14ac:dyDescent="0.25">
      <c r="A6" s="6" t="s">
        <v>4</v>
      </c>
      <c r="B6" s="4"/>
      <c r="C6" s="4"/>
      <c r="D6" s="4"/>
    </row>
    <row r="7" spans="1:4" ht="15" customHeight="1" x14ac:dyDescent="0.25">
      <c r="A7" s="6" t="s">
        <v>5</v>
      </c>
      <c r="B7" s="4"/>
      <c r="C7" s="4"/>
      <c r="D7" s="4"/>
    </row>
    <row r="9" spans="1:4" ht="15" customHeight="1" x14ac:dyDescent="0.25">
      <c r="A9" s="7" t="s">
        <v>6</v>
      </c>
    </row>
    <row r="10" spans="1:4" ht="15" customHeight="1" x14ac:dyDescent="0.25">
      <c r="A10" s="8" t="s">
        <v>7</v>
      </c>
    </row>
    <row r="12" spans="1:4" ht="15" customHeight="1" x14ac:dyDescent="0.25">
      <c r="A12" s="9" t="s">
        <v>8</v>
      </c>
      <c r="B12" s="10">
        <v>6700</v>
      </c>
      <c r="C12" s="11" t="s">
        <v>9</v>
      </c>
      <c r="D12" s="8" t="s">
        <v>10</v>
      </c>
    </row>
    <row r="13" spans="1:4" ht="15" customHeight="1" x14ac:dyDescent="0.25">
      <c r="A13" s="9" t="s">
        <v>11</v>
      </c>
      <c r="B13" s="10">
        <v>5200</v>
      </c>
      <c r="C13" s="11" t="s">
        <v>9</v>
      </c>
      <c r="D13" s="8" t="s">
        <v>12</v>
      </c>
    </row>
    <row r="14" spans="1:4" ht="15" customHeight="1" x14ac:dyDescent="0.25">
      <c r="A14" s="9" t="s">
        <v>13</v>
      </c>
      <c r="B14" s="12">
        <f>B12-B13</f>
        <v>1500</v>
      </c>
      <c r="C14" s="11" t="s">
        <v>9</v>
      </c>
      <c r="D14" s="8" t="s">
        <v>14</v>
      </c>
    </row>
    <row r="15" spans="1:4" ht="15" customHeight="1" x14ac:dyDescent="0.25">
      <c r="A15" s="9" t="s">
        <v>15</v>
      </c>
      <c r="B15" s="13">
        <f>B13/B12</f>
        <v>0.77611940298507465</v>
      </c>
      <c r="C15" s="11"/>
      <c r="D15" s="8"/>
    </row>
    <row r="17" spans="1:4" ht="15" customHeight="1" x14ac:dyDescent="0.25">
      <c r="A17" s="9" t="s">
        <v>16</v>
      </c>
      <c r="B17" s="10">
        <v>606</v>
      </c>
      <c r="C17" s="11" t="s">
        <v>17</v>
      </c>
      <c r="D17" s="8" t="s">
        <v>18</v>
      </c>
    </row>
    <row r="18" spans="1:4" ht="15" customHeight="1" x14ac:dyDescent="0.25">
      <c r="A18" s="9" t="s">
        <v>19</v>
      </c>
      <c r="B18" s="10">
        <v>147</v>
      </c>
      <c r="C18" s="11" t="s">
        <v>17</v>
      </c>
      <c r="D18" s="8" t="s">
        <v>20</v>
      </c>
    </row>
    <row r="19" spans="1:4" ht="15" customHeight="1" x14ac:dyDescent="0.25">
      <c r="A19" s="9" t="s">
        <v>21</v>
      </c>
      <c r="B19" s="12">
        <f>B17-B18</f>
        <v>459</v>
      </c>
      <c r="C19" s="11" t="s">
        <v>17</v>
      </c>
      <c r="D19" s="8" t="s">
        <v>22</v>
      </c>
    </row>
    <row r="21" spans="1:4" ht="15" customHeight="1" x14ac:dyDescent="0.25">
      <c r="A21" s="7" t="s">
        <v>23</v>
      </c>
    </row>
    <row r="22" spans="1:4" ht="15" customHeight="1" x14ac:dyDescent="0.25">
      <c r="A22" s="9" t="s">
        <v>24</v>
      </c>
      <c r="B22" s="14">
        <v>0.65</v>
      </c>
      <c r="D22" s="8" t="s">
        <v>25</v>
      </c>
    </row>
    <row r="23" spans="1:4" ht="15" customHeight="1" x14ac:dyDescent="0.25">
      <c r="A23" s="9" t="s">
        <v>26</v>
      </c>
      <c r="B23" s="12">
        <v>8760</v>
      </c>
      <c r="C23" s="11" t="s">
        <v>27</v>
      </c>
    </row>
    <row r="24" spans="1:4" ht="15" customHeight="1" x14ac:dyDescent="0.25">
      <c r="A24" s="9" t="s">
        <v>28</v>
      </c>
      <c r="B24" s="15">
        <f>B22*B23/1000</f>
        <v>5.694</v>
      </c>
      <c r="C24" s="11" t="s">
        <v>29</v>
      </c>
    </row>
    <row r="26" spans="1:4" ht="15" customHeight="1" x14ac:dyDescent="0.25">
      <c r="A26" s="16" t="s">
        <v>30</v>
      </c>
      <c r="B26" s="17">
        <f>B19/B24</f>
        <v>80.611169652265545</v>
      </c>
      <c r="C26" s="11" t="s">
        <v>31</v>
      </c>
      <c r="D26" s="8" t="s">
        <v>32</v>
      </c>
    </row>
    <row r="27" spans="1:4" ht="15" customHeight="1" x14ac:dyDescent="0.25">
      <c r="A27" s="16" t="s">
        <v>33</v>
      </c>
      <c r="B27" s="17">
        <f>B17/B24</f>
        <v>106.42781875658588</v>
      </c>
      <c r="C27" s="11" t="s">
        <v>31</v>
      </c>
    </row>
    <row r="29" spans="1:4" ht="15" customHeight="1" x14ac:dyDescent="0.25">
      <c r="A29" s="7" t="s">
        <v>34</v>
      </c>
    </row>
    <row r="30" spans="1:4" ht="15" customHeight="1" x14ac:dyDescent="0.25">
      <c r="A30" s="9" t="s">
        <v>35</v>
      </c>
      <c r="B30" s="18">
        <v>47</v>
      </c>
      <c r="C30" s="11" t="s">
        <v>36</v>
      </c>
      <c r="D30" s="8" t="s">
        <v>37</v>
      </c>
    </row>
    <row r="31" spans="1:4" ht="15" customHeight="1" x14ac:dyDescent="0.25">
      <c r="A31" s="9" t="s">
        <v>38</v>
      </c>
      <c r="B31" s="18">
        <v>15.5</v>
      </c>
      <c r="C31" s="11" t="s">
        <v>36</v>
      </c>
      <c r="D31" s="8" t="s">
        <v>39</v>
      </c>
    </row>
    <row r="32" spans="1:4" ht="15" customHeight="1" x14ac:dyDescent="0.25">
      <c r="A32" s="9" t="s">
        <v>40</v>
      </c>
      <c r="B32" s="14">
        <v>0.6</v>
      </c>
      <c r="D32" s="8" t="s">
        <v>41</v>
      </c>
    </row>
    <row r="33" spans="1:4" ht="15" customHeight="1" x14ac:dyDescent="0.25">
      <c r="A33" s="16" t="s">
        <v>42</v>
      </c>
      <c r="B33" s="17">
        <f>(B30*B32)+(B31*(1-B32))</f>
        <v>34.4</v>
      </c>
      <c r="C33" s="11" t="s">
        <v>36</v>
      </c>
    </row>
    <row r="35" spans="1:4" ht="15" customHeight="1" x14ac:dyDescent="0.25">
      <c r="A35" s="19" t="s">
        <v>43</v>
      </c>
      <c r="B35" s="20">
        <f>B26*B33</f>
        <v>2773.0242360379348</v>
      </c>
      <c r="C35" s="11" t="s">
        <v>9</v>
      </c>
      <c r="D35" s="8" t="s">
        <v>44</v>
      </c>
    </row>
    <row r="37" spans="1:4" ht="15" customHeight="1" x14ac:dyDescent="0.25">
      <c r="A37" s="7" t="s">
        <v>45</v>
      </c>
    </row>
    <row r="38" spans="1:4" ht="15" customHeight="1" x14ac:dyDescent="0.25">
      <c r="A38" s="9" t="s">
        <v>46</v>
      </c>
      <c r="B38" s="14">
        <v>0.5</v>
      </c>
      <c r="D38" s="8" t="s">
        <v>47</v>
      </c>
    </row>
    <row r="39" spans="1:4" ht="15" customHeight="1" x14ac:dyDescent="0.25">
      <c r="A39" s="9" t="s">
        <v>48</v>
      </c>
      <c r="B39" s="21">
        <f>B12*B38</f>
        <v>3350</v>
      </c>
      <c r="C39" s="11" t="s">
        <v>9</v>
      </c>
    </row>
    <row r="40" spans="1:4" ht="15" customHeight="1" x14ac:dyDescent="0.25">
      <c r="A40" s="9" t="s">
        <v>49</v>
      </c>
      <c r="B40" s="21">
        <f>B13*B38</f>
        <v>2600</v>
      </c>
      <c r="C40" s="11" t="s">
        <v>9</v>
      </c>
    </row>
    <row r="42" spans="1:4" ht="15" customHeight="1" x14ac:dyDescent="0.25">
      <c r="A42" s="16" t="s">
        <v>50</v>
      </c>
      <c r="B42" s="21">
        <f>B39-B35</f>
        <v>576.97576396206523</v>
      </c>
      <c r="C42" s="11" t="s">
        <v>9</v>
      </c>
      <c r="D42" s="8" t="s">
        <v>51</v>
      </c>
    </row>
    <row r="43" spans="1:4" ht="15" customHeight="1" x14ac:dyDescent="0.25">
      <c r="A43" s="9" t="s">
        <v>52</v>
      </c>
      <c r="B43" s="17">
        <f>B12/(B17/B24/B38)</f>
        <v>31.476732673267328</v>
      </c>
      <c r="C43" s="11" t="s">
        <v>36</v>
      </c>
    </row>
    <row r="45" spans="1:4" ht="15" customHeight="1" x14ac:dyDescent="0.25">
      <c r="A45" s="7" t="s">
        <v>53</v>
      </c>
    </row>
    <row r="46" spans="1:4" ht="15" customHeight="1" x14ac:dyDescent="0.25">
      <c r="A46" s="11" t="s">
        <v>54</v>
      </c>
    </row>
    <row r="47" spans="1:4" ht="15" customHeight="1" x14ac:dyDescent="0.25">
      <c r="A47" s="11" t="s">
        <v>55</v>
      </c>
    </row>
    <row r="48" spans="1:4" ht="15" customHeight="1" x14ac:dyDescent="0.25">
      <c r="A48" s="11" t="s">
        <v>56</v>
      </c>
    </row>
    <row r="49" spans="1:7" ht="15" customHeight="1" x14ac:dyDescent="0.25">
      <c r="A49" s="11" t="s">
        <v>57</v>
      </c>
    </row>
    <row r="50" spans="1:7" ht="15" customHeight="1" x14ac:dyDescent="0.25">
      <c r="A50" s="11" t="s">
        <v>58</v>
      </c>
    </row>
    <row r="51" spans="1:7" ht="15" customHeight="1" x14ac:dyDescent="0.25">
      <c r="A51" s="11" t="s">
        <v>59</v>
      </c>
    </row>
    <row r="52" spans="1:7" ht="15" customHeight="1" x14ac:dyDescent="0.25">
      <c r="A52" s="11" t="s">
        <v>60</v>
      </c>
    </row>
    <row r="53" spans="1:7" ht="15" customHeight="1" x14ac:dyDescent="0.25">
      <c r="A53" s="11" t="s">
        <v>61</v>
      </c>
    </row>
    <row r="56" spans="1:7" ht="15" customHeight="1" x14ac:dyDescent="0.25">
      <c r="A56" s="7" t="s">
        <v>62</v>
      </c>
    </row>
    <row r="57" spans="1:7" ht="15" customHeight="1" x14ac:dyDescent="0.25">
      <c r="A57" s="11" t="s">
        <v>63</v>
      </c>
    </row>
    <row r="59" spans="1:7" ht="15" customHeight="1" x14ac:dyDescent="0.25">
      <c r="A59" s="22" t="s">
        <v>64</v>
      </c>
      <c r="B59" s="23" t="s">
        <v>65</v>
      </c>
      <c r="C59" s="23" t="s">
        <v>66</v>
      </c>
      <c r="D59" s="23" t="s">
        <v>67</v>
      </c>
      <c r="E59" s="23" t="s">
        <v>68</v>
      </c>
      <c r="F59" s="23" t="s">
        <v>69</v>
      </c>
      <c r="G59" s="23" t="s">
        <v>70</v>
      </c>
    </row>
    <row r="60" spans="1:7" ht="15" customHeight="1" x14ac:dyDescent="0.25">
      <c r="A60" s="24" t="s">
        <v>71</v>
      </c>
      <c r="B60" s="25">
        <f>$B$26*(($B$30*0.4)+($B$31*(1-0.4)))</f>
        <v>2265.1738672286619</v>
      </c>
      <c r="C60" s="25">
        <f>$B$26*(($B$30*0.5)+($B$31*(1-0.5)))</f>
        <v>2519.0990516332981</v>
      </c>
      <c r="D60" s="25">
        <f>$B$26*(($B$30*0.6)+($B$31*(1-0.6)))</f>
        <v>2773.0242360379348</v>
      </c>
      <c r="E60" s="25">
        <f>$B$26*(($B$30*0.7)+($B$31*(1-0.7)))</f>
        <v>3026.949420442571</v>
      </c>
      <c r="F60" s="25">
        <f>$B$26*(($B$30*0.77)+($B$31*(1-0.77)))</f>
        <v>3204.6970495258165</v>
      </c>
      <c r="G60" s="25">
        <f>$B$26*(($B$30*0.85)+($B$31*(1-0.85)))</f>
        <v>3407.8371970495259</v>
      </c>
    </row>
    <row r="61" spans="1:7" ht="15" customHeight="1" x14ac:dyDescent="0.25">
      <c r="A61" s="19" t="s">
        <v>72</v>
      </c>
      <c r="B61" s="26">
        <f>(SUM(B60:G60)+$B$39*6)/12</f>
        <v>3108.0650684931511</v>
      </c>
      <c r="C61" s="27"/>
      <c r="D61" s="27"/>
      <c r="E61" s="27"/>
      <c r="F61" s="27"/>
      <c r="G61" s="27"/>
    </row>
    <row r="62" spans="1:7" ht="15" customHeight="1" x14ac:dyDescent="0.25">
      <c r="A62" s="28" t="s">
        <v>73</v>
      </c>
      <c r="B62" s="28" t="s">
        <v>74</v>
      </c>
      <c r="C62" s="11" t="s">
        <v>9</v>
      </c>
      <c r="D62" s="8" t="s">
        <v>75</v>
      </c>
    </row>
    <row r="63" spans="1:7" ht="15" customHeight="1" x14ac:dyDescent="0.25">
      <c r="A63" s="9"/>
      <c r="B63" s="29"/>
      <c r="C63" s="9"/>
      <c r="D63" s="9"/>
      <c r="E63" s="9"/>
      <c r="F63" s="9"/>
      <c r="G63" s="9"/>
    </row>
    <row r="64" spans="1:7" ht="15" customHeight="1" x14ac:dyDescent="0.25">
      <c r="A64" s="9"/>
      <c r="B64" s="9"/>
      <c r="C64" s="9"/>
      <c r="D64" s="9"/>
      <c r="E64" s="9"/>
      <c r="F64" s="9"/>
      <c r="G64" s="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14" customWidth="1"/>
    <col min="3" max="3" width="22" customWidth="1"/>
    <col min="4" max="4" width="80" customWidth="1"/>
  </cols>
  <sheetData>
    <row r="1" spans="1:4" ht="15.75" customHeight="1" x14ac:dyDescent="0.25">
      <c r="A1" s="1" t="s">
        <v>76</v>
      </c>
    </row>
    <row r="3" spans="1:4" ht="15" customHeight="1" x14ac:dyDescent="0.25">
      <c r="A3" s="30" t="s">
        <v>77</v>
      </c>
      <c r="B3" s="30" t="s">
        <v>78</v>
      </c>
      <c r="C3" s="30" t="s">
        <v>79</v>
      </c>
      <c r="D3" s="30" t="s">
        <v>80</v>
      </c>
    </row>
    <row r="4" spans="1:4" ht="15" customHeight="1" x14ac:dyDescent="0.25">
      <c r="A4" s="9" t="s">
        <v>81</v>
      </c>
      <c r="B4" s="31">
        <v>0.5</v>
      </c>
      <c r="C4" s="9" t="s">
        <v>82</v>
      </c>
      <c r="D4" s="9" t="s">
        <v>83</v>
      </c>
    </row>
    <row r="5" spans="1:4" ht="15" customHeight="1" x14ac:dyDescent="0.25">
      <c r="A5" s="9" t="s">
        <v>81</v>
      </c>
      <c r="B5" s="9" t="s">
        <v>84</v>
      </c>
      <c r="C5" s="9" t="s">
        <v>85</v>
      </c>
      <c r="D5" s="9" t="s">
        <v>86</v>
      </c>
    </row>
    <row r="6" spans="1:4" ht="15" customHeight="1" x14ac:dyDescent="0.25">
      <c r="A6" s="9" t="s">
        <v>81</v>
      </c>
      <c r="B6" s="9" t="s">
        <v>87</v>
      </c>
      <c r="C6" s="9" t="s">
        <v>88</v>
      </c>
      <c r="D6" s="9" t="s">
        <v>89</v>
      </c>
    </row>
    <row r="7" spans="1:4" ht="15" customHeight="1" x14ac:dyDescent="0.25">
      <c r="A7" s="9" t="s">
        <v>90</v>
      </c>
      <c r="B7" s="31">
        <v>0.8</v>
      </c>
      <c r="C7" s="9" t="s">
        <v>91</v>
      </c>
      <c r="D7" s="9" t="s">
        <v>92</v>
      </c>
    </row>
    <row r="8" spans="1:4" ht="15" customHeight="1" x14ac:dyDescent="0.25">
      <c r="A8" s="9" t="s">
        <v>93</v>
      </c>
      <c r="B8" s="31">
        <v>0.93</v>
      </c>
      <c r="C8" s="9" t="s">
        <v>94</v>
      </c>
      <c r="D8" s="9" t="s">
        <v>95</v>
      </c>
    </row>
    <row r="9" spans="1:4" ht="15" customHeight="1" x14ac:dyDescent="0.25">
      <c r="A9" s="9" t="s">
        <v>96</v>
      </c>
      <c r="B9" s="9" t="s">
        <v>97</v>
      </c>
      <c r="C9" s="9" t="s">
        <v>98</v>
      </c>
      <c r="D9" s="9" t="s">
        <v>99</v>
      </c>
    </row>
    <row r="10" spans="1:4" ht="15" customHeight="1" x14ac:dyDescent="0.25">
      <c r="A10" s="9" t="s">
        <v>100</v>
      </c>
      <c r="B10" s="9" t="s">
        <v>101</v>
      </c>
      <c r="C10" s="9" t="s">
        <v>102</v>
      </c>
      <c r="D10" s="9" t="s">
        <v>103</v>
      </c>
    </row>
    <row r="11" spans="1:4" ht="15" customHeight="1" x14ac:dyDescent="0.25">
      <c r="A11" s="9" t="s">
        <v>104</v>
      </c>
      <c r="B11" s="9" t="s">
        <v>105</v>
      </c>
      <c r="C11" s="9" t="s">
        <v>106</v>
      </c>
      <c r="D11" s="9" t="s">
        <v>107</v>
      </c>
    </row>
    <row r="12" spans="1:4" ht="15" customHeight="1" x14ac:dyDescent="0.25">
      <c r="A12" s="9" t="s">
        <v>108</v>
      </c>
      <c r="B12" s="9" t="s">
        <v>109</v>
      </c>
      <c r="C12" s="9" t="s">
        <v>110</v>
      </c>
      <c r="D12" s="9" t="s">
        <v>111</v>
      </c>
    </row>
    <row r="13" spans="1:4" ht="15" customHeight="1" x14ac:dyDescent="0.25">
      <c r="A13" s="9" t="s">
        <v>112</v>
      </c>
      <c r="B13" s="9" t="s">
        <v>113</v>
      </c>
      <c r="C13" s="9" t="s">
        <v>114</v>
      </c>
      <c r="D13" s="9" t="s">
        <v>115</v>
      </c>
    </row>
    <row r="15" spans="1:4" ht="15" customHeight="1" x14ac:dyDescent="0.25">
      <c r="A15" s="7" t="s">
        <v>116</v>
      </c>
    </row>
    <row r="16" spans="1:4" ht="15" customHeight="1" x14ac:dyDescent="0.25">
      <c r="A16" s="11" t="s">
        <v>117</v>
      </c>
    </row>
    <row r="17" spans="1:1" ht="15" customHeight="1" x14ac:dyDescent="0.25">
      <c r="A17" s="11" t="s">
        <v>118</v>
      </c>
    </row>
    <row r="18" spans="1:1" ht="15" customHeight="1" x14ac:dyDescent="0.25">
      <c r="A18" s="11" t="s">
        <v>119</v>
      </c>
    </row>
    <row r="20" spans="1:1" ht="15" customHeight="1" x14ac:dyDescent="0.25">
      <c r="A20" s="11" t="s">
        <v>120</v>
      </c>
    </row>
    <row r="21" spans="1:1" ht="15" customHeight="1" x14ac:dyDescent="0.25">
      <c r="A21" s="11" t="s">
        <v>121</v>
      </c>
    </row>
    <row r="22" spans="1:1" ht="15" customHeight="1" x14ac:dyDescent="0.25">
      <c r="A22" s="11" t="s">
        <v>122</v>
      </c>
    </row>
    <row r="24" spans="1:1" ht="15" customHeight="1" x14ac:dyDescent="0.25">
      <c r="A24" s="11" t="s">
        <v>123</v>
      </c>
    </row>
    <row r="25" spans="1:1" ht="15" customHeight="1" x14ac:dyDescent="0.25">
      <c r="A25" s="11" t="s">
        <v>124</v>
      </c>
    </row>
    <row r="26" spans="1:1" ht="15" customHeight="1" x14ac:dyDescent="0.25">
      <c r="A26" s="11" t="s">
        <v>125</v>
      </c>
    </row>
    <row r="28" spans="1:1" ht="15" customHeight="1" x14ac:dyDescent="0.25">
      <c r="A28" s="11" t="s">
        <v>126</v>
      </c>
    </row>
    <row r="29" spans="1:1" ht="15" customHeight="1" x14ac:dyDescent="0.25">
      <c r="A29" s="11" t="s">
        <v>127</v>
      </c>
    </row>
    <row r="30" spans="1:1" ht="15" customHeight="1" x14ac:dyDescent="0.25">
      <c r="A30" s="11" t="s">
        <v>128</v>
      </c>
    </row>
    <row r="31" spans="1:1" ht="15" customHeight="1" x14ac:dyDescent="0.25">
      <c r="A31" s="11" t="s">
        <v>129</v>
      </c>
    </row>
    <row r="32" spans="1:1" ht="15" customHeight="1" x14ac:dyDescent="0.25">
      <c r="A32" s="11" t="s">
        <v>130</v>
      </c>
    </row>
    <row r="33" spans="1:1" ht="15" customHeight="1" x14ac:dyDescent="0.25">
      <c r="A33" s="11" t="s">
        <v>131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zoomScaleNormal="100" workbookViewId="0"/>
  </sheetViews>
  <sheetFormatPr defaultColWidth="8.7109375" defaultRowHeight="15" x14ac:dyDescent="0.25"/>
  <cols>
    <col min="1" max="1" width="30" customWidth="1"/>
    <col min="2" max="2" width="20" customWidth="1"/>
    <col min="3" max="3" width="22" customWidth="1"/>
    <col min="4" max="4" width="80" customWidth="1"/>
  </cols>
  <sheetData>
    <row r="1" spans="1:4" ht="15.75" customHeight="1" x14ac:dyDescent="0.25">
      <c r="A1" s="1" t="s">
        <v>132</v>
      </c>
    </row>
    <row r="3" spans="1:4" ht="15" customHeight="1" x14ac:dyDescent="0.25">
      <c r="A3" s="30" t="s">
        <v>133</v>
      </c>
      <c r="B3" s="30" t="s">
        <v>134</v>
      </c>
      <c r="C3" s="30" t="s">
        <v>135</v>
      </c>
      <c r="D3" s="30" t="s">
        <v>80</v>
      </c>
    </row>
    <row r="4" spans="1:4" ht="15" customHeight="1" x14ac:dyDescent="0.25">
      <c r="A4" s="9" t="s">
        <v>136</v>
      </c>
      <c r="B4" s="9" t="s">
        <v>137</v>
      </c>
      <c r="C4" s="9" t="s">
        <v>138</v>
      </c>
      <c r="D4" s="9" t="s">
        <v>139</v>
      </c>
    </row>
    <row r="5" spans="1:4" ht="15" customHeight="1" x14ac:dyDescent="0.25">
      <c r="A5" s="9" t="s">
        <v>140</v>
      </c>
      <c r="B5" s="9" t="s">
        <v>141</v>
      </c>
      <c r="C5" s="9" t="s">
        <v>142</v>
      </c>
      <c r="D5" s="9" t="s">
        <v>143</v>
      </c>
    </row>
    <row r="6" spans="1:4" ht="15" customHeight="1" x14ac:dyDescent="0.25">
      <c r="A6" s="9" t="s">
        <v>144</v>
      </c>
      <c r="B6" s="9" t="s">
        <v>145</v>
      </c>
      <c r="C6" s="9" t="s">
        <v>146</v>
      </c>
      <c r="D6" s="9" t="s">
        <v>147</v>
      </c>
    </row>
    <row r="7" spans="1:4" ht="15" customHeight="1" x14ac:dyDescent="0.25">
      <c r="A7" s="9" t="s">
        <v>148</v>
      </c>
      <c r="B7" s="9" t="s">
        <v>149</v>
      </c>
      <c r="C7" s="9" t="s">
        <v>150</v>
      </c>
      <c r="D7" s="9" t="s">
        <v>151</v>
      </c>
    </row>
    <row r="8" spans="1:4" ht="15" customHeight="1" x14ac:dyDescent="0.25">
      <c r="A8" s="9" t="s">
        <v>152</v>
      </c>
      <c r="B8" s="9" t="s">
        <v>153</v>
      </c>
      <c r="C8" s="9" t="s">
        <v>154</v>
      </c>
      <c r="D8" s="9" t="s">
        <v>155</v>
      </c>
    </row>
    <row r="9" spans="1:4" ht="15" customHeight="1" x14ac:dyDescent="0.25">
      <c r="A9" s="9" t="s">
        <v>156</v>
      </c>
      <c r="B9" s="9" t="s">
        <v>157</v>
      </c>
      <c r="C9" s="9" t="s">
        <v>158</v>
      </c>
      <c r="D9" s="9" t="s">
        <v>159</v>
      </c>
    </row>
    <row r="10" spans="1:4" ht="15" customHeight="1" x14ac:dyDescent="0.25">
      <c r="A10" s="9" t="s">
        <v>160</v>
      </c>
      <c r="B10" s="9" t="s">
        <v>161</v>
      </c>
      <c r="C10" s="9" t="s">
        <v>158</v>
      </c>
      <c r="D10" s="9" t="s">
        <v>162</v>
      </c>
    </row>
    <row r="11" spans="1:4" ht="15" customHeight="1" x14ac:dyDescent="0.25">
      <c r="A11" s="9" t="s">
        <v>163</v>
      </c>
      <c r="B11" s="9" t="s">
        <v>164</v>
      </c>
      <c r="C11" s="9" t="s">
        <v>158</v>
      </c>
      <c r="D11" s="9" t="s">
        <v>165</v>
      </c>
    </row>
    <row r="12" spans="1:4" ht="15" customHeight="1" x14ac:dyDescent="0.25">
      <c r="A12" s="9" t="s">
        <v>166</v>
      </c>
      <c r="B12" s="9" t="s">
        <v>167</v>
      </c>
      <c r="C12" s="9" t="s">
        <v>158</v>
      </c>
      <c r="D12" s="9" t="s">
        <v>168</v>
      </c>
    </row>
    <row r="13" spans="1:4" ht="15" customHeight="1" x14ac:dyDescent="0.25">
      <c r="A13" s="9" t="s">
        <v>169</v>
      </c>
      <c r="B13" s="9" t="s">
        <v>170</v>
      </c>
      <c r="C13" s="9" t="s">
        <v>171</v>
      </c>
      <c r="D13" s="9" t="s">
        <v>172</v>
      </c>
    </row>
    <row r="14" spans="1:4" ht="15" customHeight="1" x14ac:dyDescent="0.25">
      <c r="A14" s="9" t="s">
        <v>173</v>
      </c>
      <c r="B14" s="9" t="s">
        <v>174</v>
      </c>
      <c r="C14" s="9" t="s">
        <v>175</v>
      </c>
      <c r="D14" s="9" t="s">
        <v>176</v>
      </c>
    </row>
    <row r="15" spans="1:4" ht="15" customHeight="1" x14ac:dyDescent="0.25">
      <c r="A15" s="9" t="s">
        <v>177</v>
      </c>
      <c r="B15" s="9" t="s">
        <v>141</v>
      </c>
      <c r="C15" s="9" t="s">
        <v>178</v>
      </c>
      <c r="D15" s="9" t="s">
        <v>179</v>
      </c>
    </row>
    <row r="17" spans="1:1" ht="15" customHeight="1" x14ac:dyDescent="0.25">
      <c r="A17" s="7" t="s">
        <v>116</v>
      </c>
    </row>
    <row r="18" spans="1:1" ht="15" customHeight="1" x14ac:dyDescent="0.25">
      <c r="A18" s="11" t="s">
        <v>180</v>
      </c>
    </row>
    <row r="20" spans="1:1" ht="15" customHeight="1" x14ac:dyDescent="0.25">
      <c r="A20" s="11" t="s">
        <v>181</v>
      </c>
    </row>
    <row r="21" spans="1:1" ht="15" customHeight="1" x14ac:dyDescent="0.25">
      <c r="A21" s="11" t="s">
        <v>182</v>
      </c>
    </row>
    <row r="22" spans="1:1" ht="15" customHeight="1" x14ac:dyDescent="0.25">
      <c r="A22" s="11" t="s">
        <v>183</v>
      </c>
    </row>
    <row r="23" spans="1:1" ht="15" customHeight="1" x14ac:dyDescent="0.25">
      <c r="A23" s="11" t="s">
        <v>184</v>
      </c>
    </row>
    <row r="24" spans="1:1" ht="15" customHeight="1" x14ac:dyDescent="0.25">
      <c r="A24" s="11" t="s">
        <v>185</v>
      </c>
    </row>
    <row r="26" spans="1:1" ht="15" customHeight="1" x14ac:dyDescent="0.25">
      <c r="A26" s="11" t="s">
        <v>186</v>
      </c>
    </row>
    <row r="27" spans="1:1" ht="15" customHeight="1" x14ac:dyDescent="0.25">
      <c r="A27" s="11" t="s">
        <v>187</v>
      </c>
    </row>
    <row r="28" spans="1:1" ht="15" customHeight="1" x14ac:dyDescent="0.25">
      <c r="A28" s="11" t="s">
        <v>188</v>
      </c>
    </row>
    <row r="29" spans="1:1" ht="15" customHeight="1" x14ac:dyDescent="0.25">
      <c r="A29" s="11" t="s">
        <v>189</v>
      </c>
    </row>
    <row r="30" spans="1:1" ht="15" customHeight="1" x14ac:dyDescent="0.25">
      <c r="A30" s="11" t="s">
        <v>190</v>
      </c>
    </row>
    <row r="31" spans="1:1" ht="15" customHeight="1" x14ac:dyDescent="0.25">
      <c r="A31" s="11" t="s">
        <v>191</v>
      </c>
    </row>
    <row r="33" spans="1:1" ht="15" customHeight="1" x14ac:dyDescent="0.25">
      <c r="A33" s="11" t="s">
        <v>192</v>
      </c>
    </row>
    <row r="34" spans="1:1" ht="15" customHeight="1" x14ac:dyDescent="0.25">
      <c r="A34" s="11" t="s">
        <v>193</v>
      </c>
    </row>
    <row r="35" spans="1:1" ht="15" customHeight="1" x14ac:dyDescent="0.25">
      <c r="A35" s="11" t="s">
        <v>194</v>
      </c>
    </row>
    <row r="36" spans="1:1" ht="15" customHeight="1" x14ac:dyDescent="0.25">
      <c r="A36" s="11" t="s">
        <v>195</v>
      </c>
    </row>
    <row r="37" spans="1:1" ht="15" customHeight="1" x14ac:dyDescent="0.25">
      <c r="A37" s="11" t="s">
        <v>196</v>
      </c>
    </row>
    <row r="38" spans="1:1" ht="15" customHeight="1" x14ac:dyDescent="0.25">
      <c r="A38" s="11" t="s">
        <v>197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80" customWidth="1"/>
    <col min="3" max="3" width="45" customWidth="1"/>
  </cols>
  <sheetData>
    <row r="1" spans="1:3" ht="15.75" customHeight="1" x14ac:dyDescent="0.25">
      <c r="A1" s="1" t="s">
        <v>198</v>
      </c>
    </row>
    <row r="2" spans="1:3" ht="15" customHeight="1" x14ac:dyDescent="0.25">
      <c r="A2" s="2" t="s">
        <v>199</v>
      </c>
    </row>
    <row r="4" spans="1:3" ht="15" customHeight="1" x14ac:dyDescent="0.25">
      <c r="A4" s="32" t="s">
        <v>200</v>
      </c>
      <c r="B4" s="9"/>
      <c r="C4" s="9"/>
    </row>
    <row r="5" spans="1:3" ht="15" customHeight="1" x14ac:dyDescent="0.25">
      <c r="A5" s="16" t="s">
        <v>201</v>
      </c>
      <c r="B5" s="9" t="s">
        <v>202</v>
      </c>
      <c r="C5" s="9"/>
    </row>
    <row r="6" spans="1:3" ht="15" customHeight="1" x14ac:dyDescent="0.25">
      <c r="A6" s="16" t="s">
        <v>203</v>
      </c>
      <c r="B6" s="9" t="s">
        <v>204</v>
      </c>
      <c r="C6" s="33" t="s">
        <v>205</v>
      </c>
    </row>
    <row r="7" spans="1:3" ht="15" customHeight="1" x14ac:dyDescent="0.25">
      <c r="A7" s="9"/>
      <c r="B7" s="9"/>
      <c r="C7" s="9"/>
    </row>
    <row r="8" spans="1:3" ht="15" customHeight="1" x14ac:dyDescent="0.25">
      <c r="A8" s="32" t="s">
        <v>206</v>
      </c>
      <c r="B8" s="9"/>
      <c r="C8" s="9"/>
    </row>
    <row r="9" spans="1:3" ht="15" customHeight="1" x14ac:dyDescent="0.25">
      <c r="A9" s="16" t="s">
        <v>207</v>
      </c>
      <c r="B9" s="9" t="s">
        <v>208</v>
      </c>
      <c r="C9" s="33" t="s">
        <v>209</v>
      </c>
    </row>
    <row r="10" spans="1:3" ht="15" customHeight="1" x14ac:dyDescent="0.25">
      <c r="A10" s="16" t="s">
        <v>210</v>
      </c>
      <c r="B10" s="9" t="s">
        <v>211</v>
      </c>
      <c r="C10" s="33" t="s">
        <v>212</v>
      </c>
    </row>
    <row r="11" spans="1:3" ht="15" customHeight="1" x14ac:dyDescent="0.25">
      <c r="A11" s="16" t="s">
        <v>213</v>
      </c>
      <c r="B11" s="9" t="s">
        <v>214</v>
      </c>
      <c r="C11" s="33" t="s">
        <v>215</v>
      </c>
    </row>
    <row r="12" spans="1:3" ht="15" customHeight="1" x14ac:dyDescent="0.25">
      <c r="A12" s="9"/>
      <c r="B12" s="9"/>
      <c r="C12" s="9"/>
    </row>
    <row r="13" spans="1:3" ht="15" customHeight="1" x14ac:dyDescent="0.25">
      <c r="A13" s="32" t="s">
        <v>216</v>
      </c>
      <c r="B13" s="9"/>
      <c r="C13" s="9"/>
    </row>
    <row r="14" spans="1:3" ht="15" customHeight="1" x14ac:dyDescent="0.25">
      <c r="A14" s="16" t="s">
        <v>217</v>
      </c>
      <c r="B14" s="33" t="s">
        <v>218</v>
      </c>
      <c r="C14" s="33" t="s">
        <v>219</v>
      </c>
    </row>
    <row r="15" spans="1:3" ht="12" customHeight="1" x14ac:dyDescent="0.25">
      <c r="A15" s="16" t="s">
        <v>220</v>
      </c>
      <c r="B15" s="33" t="s">
        <v>221</v>
      </c>
      <c r="C15" s="33" t="s">
        <v>222</v>
      </c>
    </row>
    <row r="16" spans="1:3" ht="15" customHeight="1" x14ac:dyDescent="0.25">
      <c r="A16" s="16" t="s">
        <v>223</v>
      </c>
      <c r="B16" s="9" t="s">
        <v>224</v>
      </c>
      <c r="C16" s="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4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16" customWidth="1"/>
    <col min="3" max="3" width="22" customWidth="1"/>
    <col min="4" max="7" width="18" customWidth="1"/>
  </cols>
  <sheetData>
    <row r="1" spans="1:5" ht="15.75" customHeight="1" x14ac:dyDescent="0.25">
      <c r="A1" s="1" t="s">
        <v>225</v>
      </c>
    </row>
    <row r="2" spans="1:5" ht="15" customHeight="1" x14ac:dyDescent="0.25">
      <c r="A2" s="9" t="s">
        <v>226</v>
      </c>
    </row>
    <row r="3" spans="1:5" ht="15" customHeight="1" x14ac:dyDescent="0.25">
      <c r="A3" s="8" t="s">
        <v>227</v>
      </c>
    </row>
    <row r="5" spans="1:5" ht="15" customHeight="1" x14ac:dyDescent="0.25">
      <c r="A5" s="32" t="s">
        <v>228</v>
      </c>
    </row>
    <row r="6" spans="1:5" ht="15" customHeight="1" x14ac:dyDescent="0.25">
      <c r="A6" s="9" t="s">
        <v>229</v>
      </c>
      <c r="B6" s="9">
        <v>1.1339999999999999</v>
      </c>
      <c r="C6" s="9" t="s">
        <v>230</v>
      </c>
      <c r="D6" s="9" t="s">
        <v>231</v>
      </c>
    </row>
    <row r="7" spans="1:5" ht="15" customHeight="1" x14ac:dyDescent="0.25">
      <c r="A7" s="9" t="s">
        <v>232</v>
      </c>
      <c r="B7" s="9">
        <v>8</v>
      </c>
      <c r="C7" s="9" t="s">
        <v>230</v>
      </c>
      <c r="D7" s="9" t="s">
        <v>233</v>
      </c>
    </row>
    <row r="8" spans="1:5" ht="15" customHeight="1" x14ac:dyDescent="0.25">
      <c r="A8" s="9" t="s">
        <v>234</v>
      </c>
      <c r="B8" s="9">
        <f>B7-B6</f>
        <v>6.8659999999999997</v>
      </c>
      <c r="C8" s="9" t="s">
        <v>230</v>
      </c>
      <c r="D8" s="9" t="s">
        <v>235</v>
      </c>
    </row>
    <row r="9" spans="1:5" ht="15" customHeight="1" x14ac:dyDescent="0.25">
      <c r="A9" s="9" t="s">
        <v>236</v>
      </c>
      <c r="B9" s="9">
        <v>967.5</v>
      </c>
      <c r="D9" s="9" t="s">
        <v>237</v>
      </c>
    </row>
    <row r="11" spans="1:5" ht="15" customHeight="1" x14ac:dyDescent="0.25">
      <c r="A11" s="32" t="s">
        <v>238</v>
      </c>
    </row>
    <row r="12" spans="1:5" ht="15" customHeight="1" x14ac:dyDescent="0.25">
      <c r="A12" s="9" t="s">
        <v>239</v>
      </c>
      <c r="B12" s="9" t="s">
        <v>240</v>
      </c>
      <c r="C12" s="9" t="s">
        <v>241</v>
      </c>
      <c r="D12" s="9" t="s">
        <v>242</v>
      </c>
      <c r="E12" s="9" t="s">
        <v>243</v>
      </c>
    </row>
    <row r="13" spans="1:5" ht="15" customHeight="1" x14ac:dyDescent="0.25">
      <c r="A13" s="9" t="s">
        <v>244</v>
      </c>
      <c r="B13" s="9">
        <v>30600</v>
      </c>
      <c r="C13" s="9">
        <v>52900</v>
      </c>
      <c r="D13" s="9">
        <f>C13-B13</f>
        <v>22300</v>
      </c>
      <c r="E13" s="9" t="s">
        <v>245</v>
      </c>
    </row>
    <row r="14" spans="1:5" ht="15" customHeight="1" x14ac:dyDescent="0.25">
      <c r="A14" s="9" t="s">
        <v>246</v>
      </c>
      <c r="B14" s="9">
        <v>52900</v>
      </c>
      <c r="C14" s="9">
        <v>93300</v>
      </c>
      <c r="D14" s="9">
        <f>C14-B14</f>
        <v>40400</v>
      </c>
      <c r="E14" s="9" t="s">
        <v>245</v>
      </c>
    </row>
    <row r="15" spans="1:5" ht="15" customHeight="1" x14ac:dyDescent="0.25">
      <c r="A15" s="9" t="s">
        <v>247</v>
      </c>
      <c r="B15" s="9">
        <v>93300</v>
      </c>
      <c r="C15" s="9">
        <v>163600</v>
      </c>
      <c r="D15" s="9">
        <f>C15-B15</f>
        <v>70300</v>
      </c>
      <c r="E15" s="9" t="s">
        <v>245</v>
      </c>
    </row>
    <row r="16" spans="1:5" ht="15" customHeight="1" x14ac:dyDescent="0.25">
      <c r="A16" s="9" t="s">
        <v>248</v>
      </c>
      <c r="B16" s="9">
        <v>163600</v>
      </c>
      <c r="C16" s="9">
        <v>193300</v>
      </c>
      <c r="D16" s="9">
        <f>C16-B16</f>
        <v>29700</v>
      </c>
      <c r="E16" s="9" t="s">
        <v>249</v>
      </c>
    </row>
    <row r="17" spans="1:5" ht="15" customHeight="1" x14ac:dyDescent="0.25">
      <c r="A17" s="9" t="s">
        <v>250</v>
      </c>
      <c r="B17" s="9">
        <v>193300</v>
      </c>
      <c r="C17" s="9">
        <v>240000</v>
      </c>
      <c r="D17" s="9">
        <f>C17-B17</f>
        <v>46700</v>
      </c>
      <c r="E17" s="9" t="s">
        <v>251</v>
      </c>
    </row>
    <row r="18" spans="1:5" ht="15" customHeight="1" x14ac:dyDescent="0.25">
      <c r="A18" s="16" t="s">
        <v>252</v>
      </c>
      <c r="D18" s="9">
        <f>SUM(D13:D15)</f>
        <v>133000</v>
      </c>
    </row>
    <row r="19" spans="1:5" ht="15" customHeight="1" x14ac:dyDescent="0.25">
      <c r="A19" s="16" t="s">
        <v>253</v>
      </c>
      <c r="D19" s="9">
        <f>SUM(D16:D17)</f>
        <v>76400</v>
      </c>
    </row>
    <row r="20" spans="1:5" ht="15" customHeight="1" x14ac:dyDescent="0.25">
      <c r="A20" s="16" t="s">
        <v>254</v>
      </c>
      <c r="D20" s="9">
        <f>SUM(D13:D17)</f>
        <v>209400</v>
      </c>
    </row>
    <row r="22" spans="1:5" ht="15" customHeight="1" x14ac:dyDescent="0.25">
      <c r="A22" s="16" t="s">
        <v>255</v>
      </c>
      <c r="B22" s="9">
        <f>B8*1000000000/D18</f>
        <v>51624.060150375939</v>
      </c>
      <c r="C22" s="9" t="s">
        <v>256</v>
      </c>
      <c r="D22" s="9" t="s">
        <v>257</v>
      </c>
    </row>
    <row r="24" spans="1:5" ht="15" customHeight="1" x14ac:dyDescent="0.25">
      <c r="A24" s="32" t="s">
        <v>258</v>
      </c>
    </row>
    <row r="25" spans="1:5" ht="15" customHeight="1" x14ac:dyDescent="0.25">
      <c r="A25" s="9" t="s">
        <v>239</v>
      </c>
      <c r="B25" s="9" t="s">
        <v>242</v>
      </c>
      <c r="C25" s="9" t="s">
        <v>259</v>
      </c>
      <c r="D25" s="9" t="s">
        <v>260</v>
      </c>
      <c r="E25" s="9" t="s">
        <v>261</v>
      </c>
    </row>
    <row r="26" spans="1:5" ht="15" customHeight="1" x14ac:dyDescent="0.25">
      <c r="A26" s="9" t="s">
        <v>244</v>
      </c>
      <c r="B26" s="9">
        <f>D13</f>
        <v>22300</v>
      </c>
      <c r="C26" s="9">
        <f>$B$22</f>
        <v>51624.060150375939</v>
      </c>
      <c r="D26" s="9">
        <f>B26*C26/1000000000</f>
        <v>1.1512165413533835</v>
      </c>
      <c r="E26" s="9" t="s">
        <v>262</v>
      </c>
    </row>
    <row r="27" spans="1:5" ht="15" customHeight="1" x14ac:dyDescent="0.25">
      <c r="A27" s="9" t="s">
        <v>246</v>
      </c>
      <c r="B27" s="9">
        <f>D14</f>
        <v>40400</v>
      </c>
      <c r="C27" s="9">
        <f>$B$22</f>
        <v>51624.060150375939</v>
      </c>
      <c r="D27" s="9">
        <f>B27*C27/1000000000</f>
        <v>2.0856120300751879</v>
      </c>
      <c r="E27" s="9" t="s">
        <v>262</v>
      </c>
    </row>
    <row r="28" spans="1:5" ht="15" customHeight="1" x14ac:dyDescent="0.25">
      <c r="A28" s="9" t="s">
        <v>247</v>
      </c>
      <c r="B28" s="9">
        <f>D15</f>
        <v>70300</v>
      </c>
      <c r="C28" s="9">
        <f>$B$22</f>
        <v>51624.060150375939</v>
      </c>
      <c r="D28" s="9">
        <f>B28*C28/1000000000</f>
        <v>3.6291714285714285</v>
      </c>
      <c r="E28" s="9" t="s">
        <v>262</v>
      </c>
    </row>
    <row r="29" spans="1:5" ht="15" customHeight="1" x14ac:dyDescent="0.25">
      <c r="A29" s="9" t="s">
        <v>248</v>
      </c>
      <c r="B29" s="9">
        <f>D16</f>
        <v>29700</v>
      </c>
      <c r="C29" s="9">
        <f>$B$22</f>
        <v>51624.060150375939</v>
      </c>
      <c r="D29" s="9">
        <f>B29*C29/1000000000</f>
        <v>1.5332345864661654</v>
      </c>
      <c r="E29" s="9" t="s">
        <v>263</v>
      </c>
    </row>
    <row r="30" spans="1:5" ht="15" customHeight="1" x14ac:dyDescent="0.25">
      <c r="A30" s="9" t="s">
        <v>250</v>
      </c>
      <c r="B30" s="9">
        <f>D17</f>
        <v>46700</v>
      </c>
      <c r="C30" s="9">
        <f>$B$22</f>
        <v>51624.060150375939</v>
      </c>
      <c r="D30" s="9">
        <f>B30*C30/1000000000</f>
        <v>2.4108436090225562</v>
      </c>
      <c r="E30" s="9" t="s">
        <v>263</v>
      </c>
    </row>
    <row r="31" spans="1:5" ht="15" customHeight="1" x14ac:dyDescent="0.25">
      <c r="A31" s="16" t="s">
        <v>264</v>
      </c>
      <c r="B31" s="9">
        <f>SUM(B26:B30)</f>
        <v>209400</v>
      </c>
      <c r="D31" s="9">
        <f>SUM(D26:D30)</f>
        <v>10.810078195488721</v>
      </c>
    </row>
    <row r="33" spans="1:6" ht="15" customHeight="1" x14ac:dyDescent="0.25">
      <c r="A33" s="32" t="s">
        <v>265</v>
      </c>
    </row>
    <row r="34" spans="1:6" ht="15" customHeight="1" x14ac:dyDescent="0.25">
      <c r="A34" s="9" t="s">
        <v>239</v>
      </c>
      <c r="B34" s="9" t="s">
        <v>260</v>
      </c>
      <c r="C34" s="33" t="s">
        <v>266</v>
      </c>
      <c r="D34" s="9" t="s">
        <v>267</v>
      </c>
      <c r="E34" s="9" t="s">
        <v>268</v>
      </c>
      <c r="F34" s="9" t="s">
        <v>269</v>
      </c>
    </row>
    <row r="35" spans="1:6" ht="15" customHeight="1" x14ac:dyDescent="0.25">
      <c r="A35" s="9" t="str">
        <f>A26</f>
        <v>1860–1869</v>
      </c>
      <c r="B35" s="9">
        <f>D26</f>
        <v>1.1512165413533835</v>
      </c>
      <c r="C35" s="9">
        <v>38</v>
      </c>
      <c r="D35" s="9">
        <f>$B$9</f>
        <v>967.5</v>
      </c>
      <c r="E35" s="9">
        <f>D35/C35</f>
        <v>25.460526315789473</v>
      </c>
      <c r="F35" s="9">
        <f>B35*E35</f>
        <v>29.31057904629996</v>
      </c>
    </row>
    <row r="36" spans="1:6" ht="15" customHeight="1" x14ac:dyDescent="0.25">
      <c r="A36" s="9" t="str">
        <f>A27</f>
        <v>1870–1879</v>
      </c>
      <c r="B36" s="9">
        <f>D27</f>
        <v>2.0856120300751879</v>
      </c>
      <c r="C36" s="9">
        <v>33.4</v>
      </c>
      <c r="D36" s="9">
        <f>$B$9</f>
        <v>967.5</v>
      </c>
      <c r="E36" s="9">
        <f>D36/C36</f>
        <v>28.967065868263475</v>
      </c>
      <c r="F36" s="9">
        <f>B36*E36</f>
        <v>60.414061050830675</v>
      </c>
    </row>
    <row r="37" spans="1:6" ht="15" customHeight="1" x14ac:dyDescent="0.25">
      <c r="A37" s="9" t="str">
        <f>A28</f>
        <v>1880–1889</v>
      </c>
      <c r="B37" s="9">
        <f>D28</f>
        <v>3.6291714285714285</v>
      </c>
      <c r="C37" s="9">
        <v>27.7</v>
      </c>
      <c r="D37" s="9">
        <f>$B$9</f>
        <v>967.5</v>
      </c>
      <c r="E37" s="9">
        <f>D37/C37</f>
        <v>34.927797833935017</v>
      </c>
      <c r="F37" s="9">
        <f>B37*E37</f>
        <v>126.758965961836</v>
      </c>
    </row>
    <row r="38" spans="1:6" ht="15" customHeight="1" x14ac:dyDescent="0.25">
      <c r="A38" s="9" t="str">
        <f>A29</f>
        <v>1890–1899</v>
      </c>
      <c r="B38" s="9">
        <f>D29</f>
        <v>1.5332345864661654</v>
      </c>
      <c r="C38" s="9">
        <v>25.9</v>
      </c>
      <c r="D38" s="9">
        <f>$B$9</f>
        <v>967.5</v>
      </c>
      <c r="E38" s="9">
        <f>D38/C38</f>
        <v>37.355212355212359</v>
      </c>
      <c r="F38" s="9">
        <f>B38*E38</f>
        <v>57.274303567799812</v>
      </c>
    </row>
    <row r="39" spans="1:6" ht="15" customHeight="1" x14ac:dyDescent="0.25">
      <c r="A39" s="9" t="str">
        <f>A30</f>
        <v>1900–1909</v>
      </c>
      <c r="B39" s="9">
        <f>D30</f>
        <v>2.4108436090225562</v>
      </c>
      <c r="C39" s="9">
        <v>26.6</v>
      </c>
      <c r="D39" s="9">
        <f>$B$9</f>
        <v>967.5</v>
      </c>
      <c r="E39" s="9">
        <f>D39/C39</f>
        <v>36.372180451127818</v>
      </c>
      <c r="F39" s="9">
        <f>B39*E39</f>
        <v>87.687638786816663</v>
      </c>
    </row>
    <row r="40" spans="1:6" ht="15" customHeight="1" x14ac:dyDescent="0.25">
      <c r="A40" s="16" t="s">
        <v>264</v>
      </c>
      <c r="B40" s="9">
        <f>SUM(B35:B39)</f>
        <v>10.810078195488721</v>
      </c>
      <c r="F40" s="9">
        <f>SUM(F35:F39)</f>
        <v>361.44554841358308</v>
      </c>
    </row>
    <row r="42" spans="1:6" ht="15" customHeight="1" x14ac:dyDescent="0.25">
      <c r="A42" s="32" t="s">
        <v>270</v>
      </c>
      <c r="B42" s="9" t="s">
        <v>271</v>
      </c>
    </row>
    <row r="43" spans="1:6" ht="15" customHeight="1" x14ac:dyDescent="0.25">
      <c r="B43" s="9">
        <f>F40</f>
        <v>361.44554841358308</v>
      </c>
    </row>
    <row r="45" spans="1:6" ht="15" customHeight="1" x14ac:dyDescent="0.25">
      <c r="A45" s="32" t="s">
        <v>272</v>
      </c>
    </row>
    <row r="46" spans="1:6" ht="15" customHeight="1" x14ac:dyDescent="0.25">
      <c r="A46" s="9" t="s">
        <v>273</v>
      </c>
      <c r="B46" s="9" t="s">
        <v>274</v>
      </c>
    </row>
    <row r="47" spans="1:6" ht="15" customHeight="1" x14ac:dyDescent="0.25">
      <c r="A47" s="9">
        <v>1860</v>
      </c>
      <c r="B47" s="9">
        <v>27</v>
      </c>
    </row>
    <row r="48" spans="1:6" ht="15" customHeight="1" x14ac:dyDescent="0.25">
      <c r="A48" s="9">
        <v>1861</v>
      </c>
      <c r="B48" s="9">
        <v>27</v>
      </c>
    </row>
    <row r="49" spans="1:2" ht="15" customHeight="1" x14ac:dyDescent="0.25">
      <c r="A49" s="9">
        <v>1862</v>
      </c>
      <c r="B49" s="9">
        <v>30</v>
      </c>
    </row>
    <row r="50" spans="1:2" ht="15" customHeight="1" x14ac:dyDescent="0.25">
      <c r="A50" s="9">
        <v>1863</v>
      </c>
      <c r="B50" s="9">
        <v>37</v>
      </c>
    </row>
    <row r="51" spans="1:2" ht="15" customHeight="1" x14ac:dyDescent="0.25">
      <c r="A51" s="9">
        <v>1864</v>
      </c>
      <c r="B51" s="9">
        <v>47</v>
      </c>
    </row>
    <row r="52" spans="1:2" ht="15" customHeight="1" x14ac:dyDescent="0.25">
      <c r="A52" s="9">
        <v>1865</v>
      </c>
      <c r="B52" s="9">
        <v>46</v>
      </c>
    </row>
    <row r="53" spans="1:2" ht="15" customHeight="1" x14ac:dyDescent="0.25">
      <c r="A53" s="9">
        <v>1866</v>
      </c>
      <c r="B53" s="9">
        <v>44</v>
      </c>
    </row>
    <row r="54" spans="1:2" ht="15" customHeight="1" x14ac:dyDescent="0.25">
      <c r="A54" s="9">
        <v>1867</v>
      </c>
      <c r="B54" s="9">
        <v>42</v>
      </c>
    </row>
    <row r="55" spans="1:2" ht="15" customHeight="1" x14ac:dyDescent="0.25">
      <c r="A55" s="9">
        <v>1868</v>
      </c>
      <c r="B55" s="9">
        <v>40</v>
      </c>
    </row>
    <row r="56" spans="1:2" ht="15" customHeight="1" x14ac:dyDescent="0.25">
      <c r="A56" s="9">
        <v>1869</v>
      </c>
      <c r="B56" s="9">
        <v>40</v>
      </c>
    </row>
    <row r="57" spans="1:2" ht="15" customHeight="1" x14ac:dyDescent="0.25">
      <c r="A57" s="9">
        <v>1870</v>
      </c>
      <c r="B57" s="9">
        <v>38</v>
      </c>
    </row>
    <row r="58" spans="1:2" ht="15" customHeight="1" x14ac:dyDescent="0.25">
      <c r="A58" s="9">
        <v>1871</v>
      </c>
      <c r="B58" s="9">
        <v>36</v>
      </c>
    </row>
    <row r="59" spans="1:2" ht="15" customHeight="1" x14ac:dyDescent="0.25">
      <c r="A59" s="9">
        <v>1872</v>
      </c>
      <c r="B59" s="9">
        <v>36</v>
      </c>
    </row>
    <row r="60" spans="1:2" ht="15" customHeight="1" x14ac:dyDescent="0.25">
      <c r="A60" s="9">
        <v>1873</v>
      </c>
      <c r="B60" s="9">
        <v>36</v>
      </c>
    </row>
    <row r="61" spans="1:2" ht="15" customHeight="1" x14ac:dyDescent="0.25">
      <c r="A61" s="9">
        <v>1874</v>
      </c>
      <c r="B61" s="9">
        <v>34</v>
      </c>
    </row>
    <row r="62" spans="1:2" ht="15" customHeight="1" x14ac:dyDescent="0.25">
      <c r="A62" s="9">
        <v>1875</v>
      </c>
      <c r="B62" s="9">
        <v>33</v>
      </c>
    </row>
    <row r="63" spans="1:2" ht="15" customHeight="1" x14ac:dyDescent="0.25">
      <c r="A63" s="9">
        <v>1876</v>
      </c>
      <c r="B63" s="9">
        <v>32</v>
      </c>
    </row>
    <row r="64" spans="1:2" ht="15" customHeight="1" x14ac:dyDescent="0.25">
      <c r="A64" s="9">
        <v>1877</v>
      </c>
      <c r="B64" s="9">
        <v>32</v>
      </c>
    </row>
    <row r="65" spans="1:2" ht="15" customHeight="1" x14ac:dyDescent="0.25">
      <c r="A65" s="9">
        <v>1878</v>
      </c>
      <c r="B65" s="9">
        <v>29</v>
      </c>
    </row>
    <row r="66" spans="1:2" ht="15" customHeight="1" x14ac:dyDescent="0.25">
      <c r="A66" s="9">
        <v>1879</v>
      </c>
      <c r="B66" s="9">
        <v>28</v>
      </c>
    </row>
    <row r="67" spans="1:2" ht="15" customHeight="1" x14ac:dyDescent="0.25">
      <c r="A67" s="9">
        <v>1880</v>
      </c>
      <c r="B67" s="9">
        <v>29</v>
      </c>
    </row>
    <row r="68" spans="1:2" ht="15" customHeight="1" x14ac:dyDescent="0.25">
      <c r="A68" s="9">
        <v>1881</v>
      </c>
      <c r="B68" s="9">
        <v>29</v>
      </c>
    </row>
    <row r="69" spans="1:2" ht="15" customHeight="1" x14ac:dyDescent="0.25">
      <c r="A69" s="9">
        <v>1882</v>
      </c>
      <c r="B69" s="9">
        <v>29</v>
      </c>
    </row>
    <row r="70" spans="1:2" ht="15" customHeight="1" x14ac:dyDescent="0.25">
      <c r="A70" s="9">
        <v>1883</v>
      </c>
      <c r="B70" s="9">
        <v>28</v>
      </c>
    </row>
    <row r="71" spans="1:2" ht="15" customHeight="1" x14ac:dyDescent="0.25">
      <c r="A71" s="9">
        <v>1884</v>
      </c>
      <c r="B71" s="9">
        <v>27</v>
      </c>
    </row>
    <row r="72" spans="1:2" ht="15" customHeight="1" x14ac:dyDescent="0.25">
      <c r="A72" s="9">
        <v>1885</v>
      </c>
      <c r="B72" s="9">
        <v>27</v>
      </c>
    </row>
    <row r="73" spans="1:2" ht="15" customHeight="1" x14ac:dyDescent="0.25">
      <c r="A73" s="9">
        <v>1886</v>
      </c>
      <c r="B73" s="9">
        <v>27</v>
      </c>
    </row>
    <row r="74" spans="1:2" ht="15" customHeight="1" x14ac:dyDescent="0.25">
      <c r="A74" s="9">
        <v>1887</v>
      </c>
      <c r="B74" s="9">
        <v>27</v>
      </c>
    </row>
    <row r="75" spans="1:2" ht="15" customHeight="1" x14ac:dyDescent="0.25">
      <c r="A75" s="9">
        <v>1888</v>
      </c>
      <c r="B75" s="9">
        <v>27</v>
      </c>
    </row>
    <row r="76" spans="1:2" ht="15" customHeight="1" x14ac:dyDescent="0.25">
      <c r="A76" s="9">
        <v>1889</v>
      </c>
      <c r="B76" s="9">
        <v>27</v>
      </c>
    </row>
    <row r="77" spans="1:2" ht="15" customHeight="1" x14ac:dyDescent="0.25">
      <c r="A77" s="9">
        <v>1890</v>
      </c>
      <c r="B77" s="9">
        <v>27</v>
      </c>
    </row>
    <row r="78" spans="1:2" ht="15" customHeight="1" x14ac:dyDescent="0.25">
      <c r="A78" s="9">
        <v>1891</v>
      </c>
      <c r="B78" s="9">
        <v>27</v>
      </c>
    </row>
    <row r="79" spans="1:2" ht="15" customHeight="1" x14ac:dyDescent="0.25">
      <c r="A79" s="9">
        <v>1892</v>
      </c>
      <c r="B79" s="9">
        <v>27</v>
      </c>
    </row>
    <row r="80" spans="1:2" ht="15" customHeight="1" x14ac:dyDescent="0.25">
      <c r="A80" s="9">
        <v>1893</v>
      </c>
      <c r="B80" s="9">
        <v>27</v>
      </c>
    </row>
    <row r="81" spans="1:2" ht="15" customHeight="1" x14ac:dyDescent="0.25">
      <c r="A81" s="9">
        <v>1894</v>
      </c>
      <c r="B81" s="9">
        <v>26</v>
      </c>
    </row>
    <row r="82" spans="1:2" ht="15" customHeight="1" x14ac:dyDescent="0.25">
      <c r="A82" s="9">
        <v>1895</v>
      </c>
      <c r="B82" s="9">
        <v>25</v>
      </c>
    </row>
    <row r="83" spans="1:2" ht="15" customHeight="1" x14ac:dyDescent="0.25">
      <c r="A83" s="9">
        <v>1896</v>
      </c>
      <c r="B83" s="9">
        <v>25</v>
      </c>
    </row>
    <row r="84" spans="1:2" ht="15" customHeight="1" x14ac:dyDescent="0.25">
      <c r="A84" s="9">
        <v>1897</v>
      </c>
      <c r="B84" s="9">
        <v>25</v>
      </c>
    </row>
    <row r="85" spans="1:2" ht="15" customHeight="1" x14ac:dyDescent="0.25">
      <c r="A85" s="9">
        <v>1898</v>
      </c>
      <c r="B85" s="9">
        <v>25</v>
      </c>
    </row>
    <row r="86" spans="1:2" ht="15" customHeight="1" x14ac:dyDescent="0.25">
      <c r="A86" s="9">
        <v>1899</v>
      </c>
      <c r="B86" s="9">
        <v>25</v>
      </c>
    </row>
    <row r="87" spans="1:2" ht="15" customHeight="1" x14ac:dyDescent="0.25">
      <c r="A87" s="9">
        <v>1900</v>
      </c>
      <c r="B87" s="9">
        <v>25</v>
      </c>
    </row>
    <row r="88" spans="1:2" ht="15" customHeight="1" x14ac:dyDescent="0.25">
      <c r="A88" s="9">
        <v>1901</v>
      </c>
      <c r="B88" s="9">
        <v>25</v>
      </c>
    </row>
    <row r="89" spans="1:2" ht="15" customHeight="1" x14ac:dyDescent="0.25">
      <c r="A89" s="9">
        <v>1902</v>
      </c>
      <c r="B89" s="9">
        <v>26</v>
      </c>
    </row>
    <row r="90" spans="1:2" ht="15" customHeight="1" x14ac:dyDescent="0.25">
      <c r="A90" s="9">
        <v>1903</v>
      </c>
      <c r="B90" s="9">
        <v>27</v>
      </c>
    </row>
    <row r="91" spans="1:2" ht="15" customHeight="1" x14ac:dyDescent="0.25">
      <c r="A91" s="9">
        <v>1904</v>
      </c>
      <c r="B91" s="9">
        <v>27</v>
      </c>
    </row>
    <row r="92" spans="1:2" ht="15" customHeight="1" x14ac:dyDescent="0.25">
      <c r="A92" s="9">
        <v>1905</v>
      </c>
      <c r="B92" s="9">
        <v>27</v>
      </c>
    </row>
    <row r="93" spans="1:2" ht="15" customHeight="1" x14ac:dyDescent="0.25">
      <c r="A93" s="9">
        <v>1906</v>
      </c>
      <c r="B93" s="9">
        <v>27</v>
      </c>
    </row>
    <row r="94" spans="1:2" ht="15" customHeight="1" x14ac:dyDescent="0.25">
      <c r="A94" s="9">
        <v>1907</v>
      </c>
      <c r="B94" s="9">
        <v>28</v>
      </c>
    </row>
    <row r="95" spans="1:2" ht="15" customHeight="1" x14ac:dyDescent="0.25">
      <c r="A95" s="9">
        <v>1908</v>
      </c>
      <c r="B95" s="9">
        <v>27</v>
      </c>
    </row>
    <row r="96" spans="1:2" ht="15" customHeight="1" x14ac:dyDescent="0.25">
      <c r="A96" s="9">
        <v>1909</v>
      </c>
      <c r="B96" s="9">
        <v>27</v>
      </c>
    </row>
    <row r="97" spans="1:2" ht="15" customHeight="1" x14ac:dyDescent="0.25">
      <c r="A97" s="9">
        <v>2025</v>
      </c>
      <c r="B97" s="9">
        <v>967.5</v>
      </c>
    </row>
    <row r="99" spans="1:2" ht="15" customHeight="1" x14ac:dyDescent="0.25">
      <c r="A99" s="32" t="s">
        <v>275</v>
      </c>
    </row>
    <row r="100" spans="1:2" ht="15" customHeight="1" x14ac:dyDescent="0.25">
      <c r="A100" s="9" t="s">
        <v>276</v>
      </c>
      <c r="B100" s="9">
        <f>AVERAGE(B47:B56)</f>
        <v>38</v>
      </c>
    </row>
    <row r="101" spans="1:2" ht="15" customHeight="1" x14ac:dyDescent="0.25">
      <c r="A101" s="9" t="s">
        <v>277</v>
      </c>
      <c r="B101" s="9">
        <f>AVERAGE(B57:B66)</f>
        <v>33.4</v>
      </c>
    </row>
    <row r="102" spans="1:2" ht="15" customHeight="1" x14ac:dyDescent="0.25">
      <c r="A102" s="9" t="s">
        <v>278</v>
      </c>
      <c r="B102" s="9">
        <f>AVERAGE(B67:B76)</f>
        <v>27.7</v>
      </c>
    </row>
    <row r="103" spans="1:2" ht="15" customHeight="1" x14ac:dyDescent="0.25">
      <c r="A103" s="9" t="s">
        <v>279</v>
      </c>
      <c r="B103" s="9">
        <f>AVERAGE(B77:B86)</f>
        <v>25.9</v>
      </c>
    </row>
    <row r="104" spans="1:2" ht="15" customHeight="1" x14ac:dyDescent="0.25">
      <c r="A104" s="9" t="s">
        <v>280</v>
      </c>
      <c r="B104" s="9">
        <f>AVERAGE(B87:B96)</f>
        <v>26.6</v>
      </c>
    </row>
    <row r="107" spans="1:2" ht="15" customHeight="1" x14ac:dyDescent="0.25">
      <c r="A107" s="32" t="s">
        <v>281</v>
      </c>
    </row>
    <row r="108" spans="1:2" ht="15" customHeight="1" x14ac:dyDescent="0.25">
      <c r="A108" s="9" t="s">
        <v>282</v>
      </c>
      <c r="B108" s="9" t="s">
        <v>283</v>
      </c>
    </row>
    <row r="109" spans="1:2" ht="15" customHeight="1" x14ac:dyDescent="0.25">
      <c r="A109" s="9" t="s">
        <v>284</v>
      </c>
      <c r="B109" s="9" t="s">
        <v>285</v>
      </c>
    </row>
    <row r="110" spans="1:2" ht="15" customHeight="1" x14ac:dyDescent="0.25">
      <c r="A110" s="9" t="s">
        <v>233</v>
      </c>
      <c r="B110" s="9" t="s">
        <v>286</v>
      </c>
    </row>
    <row r="111" spans="1:2" ht="15" customHeight="1" x14ac:dyDescent="0.25">
      <c r="A111" s="9" t="s">
        <v>287</v>
      </c>
      <c r="B111" s="9" t="s">
        <v>288</v>
      </c>
    </row>
    <row r="112" spans="1:2" ht="15" customHeight="1" x14ac:dyDescent="0.25">
      <c r="A112" s="9" t="s">
        <v>289</v>
      </c>
      <c r="B112" s="9" t="s">
        <v>290</v>
      </c>
    </row>
    <row r="113" spans="1:2" ht="15" customHeight="1" x14ac:dyDescent="0.25">
      <c r="A113" s="9" t="s">
        <v>291</v>
      </c>
      <c r="B113" s="9" t="s">
        <v>292</v>
      </c>
    </row>
    <row r="114" spans="1:2" ht="15" customHeight="1" x14ac:dyDescent="0.25">
      <c r="A114" s="9" t="s">
        <v>293</v>
      </c>
      <c r="B114" s="9" t="s">
        <v>294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4"/>
  <sheetViews>
    <sheetView zoomScaleNormal="100" workbookViewId="0"/>
  </sheetViews>
  <sheetFormatPr defaultColWidth="8.7109375" defaultRowHeight="15" x14ac:dyDescent="0.25"/>
  <cols>
    <col min="1" max="1" width="50" customWidth="1"/>
    <col min="2" max="2" width="16" customWidth="1"/>
    <col min="3" max="3" width="22" customWidth="1"/>
    <col min="4" max="7" width="18" customWidth="1"/>
  </cols>
  <sheetData>
    <row r="1" spans="1:7" ht="15.75" customHeight="1" x14ac:dyDescent="0.25">
      <c r="A1" s="1" t="s">
        <v>295</v>
      </c>
    </row>
    <row r="2" spans="1:7" ht="15" customHeight="1" x14ac:dyDescent="0.25">
      <c r="A2" s="9" t="s">
        <v>296</v>
      </c>
    </row>
    <row r="3" spans="1:7" ht="15" customHeight="1" x14ac:dyDescent="0.25">
      <c r="A3" s="8" t="s">
        <v>227</v>
      </c>
    </row>
    <row r="5" spans="1:7" ht="15" customHeight="1" x14ac:dyDescent="0.25">
      <c r="A5" s="32" t="s">
        <v>228</v>
      </c>
    </row>
    <row r="6" spans="1:7" ht="15" customHeight="1" x14ac:dyDescent="0.25">
      <c r="A6" s="9" t="s">
        <v>297</v>
      </c>
      <c r="B6" s="9">
        <v>513.6</v>
      </c>
      <c r="C6" s="9" t="s">
        <v>230</v>
      </c>
      <c r="D6" s="9" t="s">
        <v>298</v>
      </c>
    </row>
    <row r="7" spans="1:7" ht="15" customHeight="1" x14ac:dyDescent="0.25">
      <c r="A7" s="9" t="s">
        <v>299</v>
      </c>
      <c r="B7" s="9">
        <v>118.1</v>
      </c>
      <c r="C7" s="9" t="s">
        <v>230</v>
      </c>
      <c r="D7" s="9" t="s">
        <v>300</v>
      </c>
    </row>
    <row r="8" spans="1:7" ht="15" customHeight="1" x14ac:dyDescent="0.25">
      <c r="A8" s="9" t="s">
        <v>301</v>
      </c>
      <c r="B8" s="9">
        <v>111.5</v>
      </c>
      <c r="C8" s="9" t="s">
        <v>230</v>
      </c>
      <c r="D8" s="9" t="s">
        <v>300</v>
      </c>
    </row>
    <row r="9" spans="1:7" ht="15" customHeight="1" x14ac:dyDescent="0.25">
      <c r="A9" s="9" t="s">
        <v>302</v>
      </c>
      <c r="B9" s="9">
        <f>B6-B7-B8</f>
        <v>284</v>
      </c>
      <c r="C9" s="9" t="s">
        <v>230</v>
      </c>
      <c r="D9" s="9" t="s">
        <v>303</v>
      </c>
    </row>
    <row r="10" spans="1:7" ht="15" customHeight="1" x14ac:dyDescent="0.25">
      <c r="A10" s="9" t="s">
        <v>236</v>
      </c>
      <c r="B10" s="9">
        <v>967.5</v>
      </c>
      <c r="D10" s="9" t="s">
        <v>237</v>
      </c>
    </row>
    <row r="12" spans="1:7" ht="15" customHeight="1" x14ac:dyDescent="0.25">
      <c r="A12" s="32" t="s">
        <v>304</v>
      </c>
    </row>
    <row r="13" spans="1:7" ht="15" customHeight="1" x14ac:dyDescent="0.25">
      <c r="A13" s="9" t="s">
        <v>305</v>
      </c>
    </row>
    <row r="14" spans="1:7" ht="15" customHeight="1" x14ac:dyDescent="0.25">
      <c r="A14" s="9" t="s">
        <v>273</v>
      </c>
      <c r="B14" s="9" t="s">
        <v>306</v>
      </c>
      <c r="C14" s="9" t="s">
        <v>243</v>
      </c>
      <c r="D14" s="9" t="s">
        <v>307</v>
      </c>
      <c r="E14" s="9" t="s">
        <v>267</v>
      </c>
      <c r="F14" s="9" t="s">
        <v>268</v>
      </c>
      <c r="G14" s="9" t="s">
        <v>269</v>
      </c>
    </row>
    <row r="15" spans="1:7" ht="15" customHeight="1" x14ac:dyDescent="0.25">
      <c r="A15" s="9">
        <v>1996</v>
      </c>
      <c r="B15" s="9">
        <v>42</v>
      </c>
      <c r="C15" s="9" t="s">
        <v>308</v>
      </c>
      <c r="D15" s="9">
        <v>471.3</v>
      </c>
      <c r="E15" s="9">
        <f t="shared" ref="E15:E20" si="0">$B$10</f>
        <v>967.5</v>
      </c>
      <c r="F15" s="9">
        <f t="shared" ref="F15:F20" si="1">E15/D15</f>
        <v>2.0528325907065561</v>
      </c>
      <c r="G15" s="9">
        <f t="shared" ref="G15:G20" si="2">B15*F15</f>
        <v>86.21896880967536</v>
      </c>
    </row>
    <row r="16" spans="1:7" ht="15" customHeight="1" x14ac:dyDescent="0.25">
      <c r="A16" s="9">
        <v>1997</v>
      </c>
      <c r="B16" s="9">
        <v>58</v>
      </c>
      <c r="C16" s="9" t="s">
        <v>308</v>
      </c>
      <c r="D16" s="9">
        <v>482.4</v>
      </c>
      <c r="E16" s="9">
        <f t="shared" si="0"/>
        <v>967.5</v>
      </c>
      <c r="F16" s="9">
        <f t="shared" si="1"/>
        <v>2.0055970149253732</v>
      </c>
      <c r="G16" s="9">
        <f t="shared" si="2"/>
        <v>116.32462686567165</v>
      </c>
    </row>
    <row r="17" spans="1:7" ht="15" customHeight="1" x14ac:dyDescent="0.25">
      <c r="A17" s="9">
        <v>1998</v>
      </c>
      <c r="B17" s="9">
        <v>80</v>
      </c>
      <c r="C17" s="9" t="s">
        <v>308</v>
      </c>
      <c r="D17" s="9">
        <v>489.8</v>
      </c>
      <c r="E17" s="9">
        <f t="shared" si="0"/>
        <v>967.5</v>
      </c>
      <c r="F17" s="9">
        <f t="shared" si="1"/>
        <v>1.9752960391996732</v>
      </c>
      <c r="G17" s="9">
        <f t="shared" si="2"/>
        <v>158.02368313597387</v>
      </c>
    </row>
    <row r="18" spans="1:7" ht="15" customHeight="1" x14ac:dyDescent="0.25">
      <c r="A18" s="9">
        <v>1999</v>
      </c>
      <c r="B18" s="9">
        <v>104</v>
      </c>
      <c r="C18" s="9" t="s">
        <v>308</v>
      </c>
      <c r="D18" s="9">
        <v>500.6</v>
      </c>
      <c r="E18" s="9">
        <f t="shared" si="0"/>
        <v>967.5</v>
      </c>
      <c r="F18" s="9">
        <f t="shared" si="1"/>
        <v>1.9326807830603274</v>
      </c>
      <c r="G18" s="9">
        <f t="shared" si="2"/>
        <v>200.99880143827406</v>
      </c>
    </row>
    <row r="19" spans="1:7" ht="15" customHeight="1" x14ac:dyDescent="0.25">
      <c r="A19" s="9">
        <v>2000</v>
      </c>
      <c r="B19" s="9">
        <v>118.1</v>
      </c>
      <c r="C19" s="9" t="s">
        <v>309</v>
      </c>
      <c r="D19" s="9">
        <v>517.5</v>
      </c>
      <c r="E19" s="9">
        <f t="shared" si="0"/>
        <v>967.5</v>
      </c>
      <c r="F19" s="9">
        <f t="shared" si="1"/>
        <v>1.8695652173913044</v>
      </c>
      <c r="G19" s="9">
        <f t="shared" si="2"/>
        <v>220.79565217391306</v>
      </c>
    </row>
    <row r="20" spans="1:7" ht="15" customHeight="1" x14ac:dyDescent="0.25">
      <c r="A20" s="9">
        <v>2001</v>
      </c>
      <c r="B20" s="9">
        <v>111.5</v>
      </c>
      <c r="C20" s="9" t="s">
        <v>309</v>
      </c>
      <c r="D20" s="9">
        <v>532.1</v>
      </c>
      <c r="E20" s="9">
        <f t="shared" si="0"/>
        <v>967.5</v>
      </c>
      <c r="F20" s="9">
        <f t="shared" si="1"/>
        <v>1.8182672429994362</v>
      </c>
      <c r="G20" s="9">
        <f t="shared" si="2"/>
        <v>202.73679759443715</v>
      </c>
    </row>
    <row r="21" spans="1:7" ht="15" customHeight="1" x14ac:dyDescent="0.25">
      <c r="A21" s="9" t="s">
        <v>264</v>
      </c>
      <c r="B21" s="9">
        <f>SUM(B15:B20)</f>
        <v>513.6</v>
      </c>
      <c r="G21" s="9">
        <f>SUM(G15:G20)</f>
        <v>985.09853001794511</v>
      </c>
    </row>
    <row r="22" spans="1:7" ht="15" customHeight="1" x14ac:dyDescent="0.25">
      <c r="A22" s="9" t="s">
        <v>310</v>
      </c>
      <c r="B22" s="9">
        <f>SUM(B15:B18)</f>
        <v>284</v>
      </c>
      <c r="C22" s="9" t="s">
        <v>311</v>
      </c>
    </row>
    <row r="24" spans="1:7" ht="15" customHeight="1" x14ac:dyDescent="0.25">
      <c r="A24" s="32" t="s">
        <v>270</v>
      </c>
      <c r="B24" s="9" t="s">
        <v>312</v>
      </c>
    </row>
    <row r="25" spans="1:7" ht="15" customHeight="1" x14ac:dyDescent="0.25">
      <c r="B25" s="9">
        <f>G21</f>
        <v>985.09853001794511</v>
      </c>
    </row>
    <row r="27" spans="1:7" ht="15" customHeight="1" x14ac:dyDescent="0.25">
      <c r="A27" s="32" t="s">
        <v>313</v>
      </c>
    </row>
    <row r="28" spans="1:7" ht="15" customHeight="1" x14ac:dyDescent="0.25">
      <c r="A28" s="9" t="s">
        <v>314</v>
      </c>
    </row>
    <row r="29" spans="1:7" ht="15" customHeight="1" x14ac:dyDescent="0.25">
      <c r="A29" s="9" t="s">
        <v>315</v>
      </c>
    </row>
    <row r="30" spans="1:7" ht="15" customHeight="1" x14ac:dyDescent="0.25">
      <c r="A30" s="9" t="s">
        <v>316</v>
      </c>
    </row>
    <row r="31" spans="1:7" ht="15" customHeight="1" x14ac:dyDescent="0.25">
      <c r="A31" s="9" t="s">
        <v>317</v>
      </c>
    </row>
    <row r="32" spans="1:7" ht="15" customHeight="1" x14ac:dyDescent="0.25">
      <c r="A32" s="9" t="s">
        <v>318</v>
      </c>
    </row>
    <row r="33" spans="1:2" ht="15" customHeight="1" x14ac:dyDescent="0.25">
      <c r="A33" s="9" t="s">
        <v>319</v>
      </c>
    </row>
    <row r="35" spans="1:2" ht="15" customHeight="1" x14ac:dyDescent="0.25">
      <c r="A35" s="32" t="s">
        <v>272</v>
      </c>
    </row>
    <row r="36" spans="1:2" ht="15" customHeight="1" x14ac:dyDescent="0.25">
      <c r="A36" s="9" t="s">
        <v>273</v>
      </c>
      <c r="B36" s="9" t="s">
        <v>274</v>
      </c>
    </row>
    <row r="37" spans="1:2" ht="15" customHeight="1" x14ac:dyDescent="0.25">
      <c r="A37" s="9">
        <v>1996</v>
      </c>
      <c r="B37" s="9">
        <v>471.3</v>
      </c>
    </row>
    <row r="38" spans="1:2" ht="15" customHeight="1" x14ac:dyDescent="0.25">
      <c r="A38" s="9">
        <v>1997</v>
      </c>
      <c r="B38" s="9">
        <v>482.4</v>
      </c>
    </row>
    <row r="39" spans="1:2" ht="15" customHeight="1" x14ac:dyDescent="0.25">
      <c r="A39" s="9">
        <v>1998</v>
      </c>
      <c r="B39" s="9">
        <v>489.8</v>
      </c>
    </row>
    <row r="40" spans="1:2" ht="15" customHeight="1" x14ac:dyDescent="0.25">
      <c r="A40" s="9">
        <v>1999</v>
      </c>
      <c r="B40" s="9">
        <v>500.6</v>
      </c>
    </row>
    <row r="41" spans="1:2" ht="15" customHeight="1" x14ac:dyDescent="0.25">
      <c r="A41" s="9">
        <v>2000</v>
      </c>
      <c r="B41" s="9">
        <v>517.5</v>
      </c>
    </row>
    <row r="42" spans="1:2" ht="15" customHeight="1" x14ac:dyDescent="0.25">
      <c r="A42" s="9">
        <v>2001</v>
      </c>
      <c r="B42" s="9">
        <v>532.1</v>
      </c>
    </row>
    <row r="43" spans="1:2" ht="15" customHeight="1" x14ac:dyDescent="0.25">
      <c r="A43" s="9">
        <v>2025</v>
      </c>
      <c r="B43" s="9">
        <v>967.5</v>
      </c>
    </row>
    <row r="46" spans="1:2" ht="15" customHeight="1" x14ac:dyDescent="0.25">
      <c r="A46" s="32" t="s">
        <v>281</v>
      </c>
    </row>
    <row r="47" spans="1:2" ht="15" customHeight="1" x14ac:dyDescent="0.25">
      <c r="A47" s="9" t="s">
        <v>320</v>
      </c>
      <c r="B47" s="9" t="s">
        <v>321</v>
      </c>
    </row>
    <row r="48" spans="1:2" ht="15" customHeight="1" x14ac:dyDescent="0.25">
      <c r="A48" s="9" t="s">
        <v>322</v>
      </c>
      <c r="B48" s="9" t="s">
        <v>323</v>
      </c>
    </row>
    <row r="49" spans="1:2" ht="15" customHeight="1" x14ac:dyDescent="0.25">
      <c r="A49" s="9" t="s">
        <v>324</v>
      </c>
      <c r="B49" s="9" t="s">
        <v>325</v>
      </c>
    </row>
    <row r="50" spans="1:2" ht="15" customHeight="1" x14ac:dyDescent="0.25">
      <c r="A50" s="9" t="s">
        <v>326</v>
      </c>
      <c r="B50" s="9" t="s">
        <v>327</v>
      </c>
    </row>
    <row r="51" spans="1:2" ht="15" customHeight="1" x14ac:dyDescent="0.25">
      <c r="A51" s="9" t="s">
        <v>328</v>
      </c>
      <c r="B51" s="9" t="s">
        <v>329</v>
      </c>
    </row>
    <row r="52" spans="1:2" ht="15" customHeight="1" x14ac:dyDescent="0.25">
      <c r="A52" s="9" t="s">
        <v>330</v>
      </c>
      <c r="B52" s="9" t="s">
        <v>331</v>
      </c>
    </row>
    <row r="53" spans="1:2" ht="15" customHeight="1" x14ac:dyDescent="0.25">
      <c r="A53" s="9" t="s">
        <v>332</v>
      </c>
      <c r="B53" s="9" t="s">
        <v>283</v>
      </c>
    </row>
    <row r="54" spans="1:2" ht="15" customHeight="1" x14ac:dyDescent="0.25">
      <c r="A54" s="9" t="s">
        <v>333</v>
      </c>
      <c r="B54" s="9" t="s">
        <v>334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zoomScaleNormal="100" workbookViewId="0"/>
  </sheetViews>
  <sheetFormatPr defaultColWidth="8.7109375" defaultRowHeight="15" x14ac:dyDescent="0.25"/>
  <cols>
    <col min="1" max="1" width="6" customWidth="1"/>
    <col min="2" max="2" width="25" customWidth="1"/>
    <col min="3" max="3" width="60" customWidth="1"/>
    <col min="4" max="4" width="16" customWidth="1"/>
    <col min="5" max="5" width="55" customWidth="1"/>
  </cols>
  <sheetData>
    <row r="1" spans="1:5" ht="15.75" customHeight="1" x14ac:dyDescent="0.25">
      <c r="A1" s="1" t="s">
        <v>335</v>
      </c>
    </row>
    <row r="3" spans="1:5" ht="15" customHeight="1" x14ac:dyDescent="0.25">
      <c r="A3" s="30" t="s">
        <v>336</v>
      </c>
      <c r="B3" s="30" t="s">
        <v>133</v>
      </c>
      <c r="C3" s="30" t="s">
        <v>337</v>
      </c>
      <c r="D3" s="30" t="s">
        <v>338</v>
      </c>
      <c r="E3" s="30" t="s">
        <v>339</v>
      </c>
    </row>
    <row r="4" spans="1:5" ht="15" customHeight="1" x14ac:dyDescent="0.25">
      <c r="A4" s="34">
        <v>1</v>
      </c>
      <c r="B4" s="9" t="s">
        <v>340</v>
      </c>
      <c r="C4" s="9" t="s">
        <v>341</v>
      </c>
      <c r="D4" s="9" t="s">
        <v>342</v>
      </c>
      <c r="E4" s="9" t="s">
        <v>343</v>
      </c>
    </row>
    <row r="5" spans="1:5" ht="15" customHeight="1" x14ac:dyDescent="0.25">
      <c r="A5" s="34">
        <v>2</v>
      </c>
      <c r="B5" s="9" t="s">
        <v>340</v>
      </c>
      <c r="C5" s="9" t="s">
        <v>344</v>
      </c>
      <c r="D5" s="9" t="s">
        <v>345</v>
      </c>
      <c r="E5" s="9" t="s">
        <v>346</v>
      </c>
    </row>
    <row r="6" spans="1:5" ht="15" customHeight="1" x14ac:dyDescent="0.25">
      <c r="A6" s="34">
        <v>3</v>
      </c>
      <c r="B6" s="9" t="s">
        <v>347</v>
      </c>
      <c r="C6" s="9" t="s">
        <v>348</v>
      </c>
      <c r="D6" s="9" t="s">
        <v>349</v>
      </c>
      <c r="E6" s="9" t="s">
        <v>350</v>
      </c>
    </row>
    <row r="7" spans="1:5" ht="15" customHeight="1" x14ac:dyDescent="0.25">
      <c r="A7" s="34">
        <v>4</v>
      </c>
      <c r="B7" s="9" t="s">
        <v>351</v>
      </c>
      <c r="C7" s="9" t="s">
        <v>352</v>
      </c>
      <c r="D7" s="9" t="s">
        <v>353</v>
      </c>
      <c r="E7" s="9" t="s">
        <v>354</v>
      </c>
    </row>
    <row r="8" spans="1:5" ht="15" customHeight="1" x14ac:dyDescent="0.25">
      <c r="A8" s="34">
        <v>5</v>
      </c>
      <c r="B8" s="9" t="s">
        <v>355</v>
      </c>
      <c r="C8" s="9" t="s">
        <v>356</v>
      </c>
      <c r="D8" s="9" t="s">
        <v>357</v>
      </c>
      <c r="E8" s="9" t="s">
        <v>358</v>
      </c>
    </row>
    <row r="9" spans="1:5" ht="15" customHeight="1" x14ac:dyDescent="0.25">
      <c r="A9" s="34">
        <v>6</v>
      </c>
      <c r="B9" s="9" t="s">
        <v>359</v>
      </c>
      <c r="C9" s="9" t="s">
        <v>360</v>
      </c>
      <c r="D9" s="9" t="s">
        <v>361</v>
      </c>
      <c r="E9" s="9" t="s">
        <v>362</v>
      </c>
    </row>
    <row r="10" spans="1:5" ht="15" customHeight="1" x14ac:dyDescent="0.25">
      <c r="A10" s="34">
        <v>7</v>
      </c>
      <c r="B10" s="9" t="s">
        <v>363</v>
      </c>
      <c r="C10" s="9" t="s">
        <v>364</v>
      </c>
      <c r="D10" s="9" t="s">
        <v>361</v>
      </c>
      <c r="E10" s="9" t="s">
        <v>365</v>
      </c>
    </row>
    <row r="11" spans="1:5" ht="15" customHeight="1" x14ac:dyDescent="0.25">
      <c r="A11" s="34">
        <v>8</v>
      </c>
      <c r="B11" s="9" t="s">
        <v>366</v>
      </c>
      <c r="C11" s="9" t="s">
        <v>367</v>
      </c>
      <c r="D11" s="9" t="s">
        <v>361</v>
      </c>
      <c r="E11" s="9" t="s">
        <v>368</v>
      </c>
    </row>
    <row r="12" spans="1:5" ht="15" customHeight="1" x14ac:dyDescent="0.25">
      <c r="A12" s="34">
        <v>9</v>
      </c>
      <c r="B12" s="9" t="s">
        <v>369</v>
      </c>
      <c r="C12" s="9" t="s">
        <v>370</v>
      </c>
      <c r="D12" s="9" t="s">
        <v>371</v>
      </c>
      <c r="E12" s="9" t="s">
        <v>372</v>
      </c>
    </row>
    <row r="13" spans="1:5" ht="15" customHeight="1" x14ac:dyDescent="0.25">
      <c r="A13" s="34">
        <v>10</v>
      </c>
      <c r="B13" s="9" t="s">
        <v>373</v>
      </c>
      <c r="C13" s="9" t="s">
        <v>374</v>
      </c>
      <c r="D13" s="9" t="s">
        <v>371</v>
      </c>
      <c r="E13" s="9" t="s">
        <v>375</v>
      </c>
    </row>
    <row r="14" spans="1:5" ht="15" customHeight="1" x14ac:dyDescent="0.25">
      <c r="A14" s="34">
        <v>11</v>
      </c>
      <c r="B14" s="9" t="s">
        <v>376</v>
      </c>
      <c r="C14" s="9" t="s">
        <v>377</v>
      </c>
      <c r="D14" s="9" t="s">
        <v>378</v>
      </c>
      <c r="E14" s="9" t="s">
        <v>379</v>
      </c>
    </row>
    <row r="15" spans="1:5" ht="15" customHeight="1" x14ac:dyDescent="0.25">
      <c r="A15" s="34">
        <v>12</v>
      </c>
      <c r="B15" s="9" t="s">
        <v>380</v>
      </c>
      <c r="C15" s="9" t="s">
        <v>381</v>
      </c>
      <c r="D15" s="9" t="s">
        <v>382</v>
      </c>
      <c r="E15" s="9" t="s">
        <v>383</v>
      </c>
    </row>
    <row r="16" spans="1:5" ht="15" customHeight="1" x14ac:dyDescent="0.25">
      <c r="A16" s="34">
        <v>13</v>
      </c>
      <c r="B16" s="9" t="s">
        <v>384</v>
      </c>
      <c r="C16" s="9" t="s">
        <v>385</v>
      </c>
      <c r="D16" s="9" t="s">
        <v>386</v>
      </c>
      <c r="E16" s="9" t="s">
        <v>387</v>
      </c>
    </row>
    <row r="17" spans="1:5" ht="15" customHeight="1" x14ac:dyDescent="0.25">
      <c r="A17" s="34">
        <v>14</v>
      </c>
      <c r="B17" s="9" t="s">
        <v>388</v>
      </c>
      <c r="C17" s="9" t="s">
        <v>389</v>
      </c>
      <c r="D17" s="9" t="s">
        <v>390</v>
      </c>
      <c r="E17" s="9" t="s">
        <v>391</v>
      </c>
    </row>
    <row r="18" spans="1:5" ht="15" customHeight="1" x14ac:dyDescent="0.25">
      <c r="A18" s="34">
        <v>15</v>
      </c>
      <c r="B18" s="9" t="s">
        <v>392</v>
      </c>
      <c r="C18" s="9" t="s">
        <v>393</v>
      </c>
      <c r="D18" s="9" t="s">
        <v>394</v>
      </c>
      <c r="E18" s="9" t="s">
        <v>395</v>
      </c>
    </row>
    <row r="19" spans="1:5" ht="15" customHeight="1" x14ac:dyDescent="0.25">
      <c r="A19" s="34">
        <v>16</v>
      </c>
      <c r="B19" s="9" t="s">
        <v>396</v>
      </c>
      <c r="C19" s="9" t="s">
        <v>397</v>
      </c>
      <c r="D19" s="9" t="s">
        <v>398</v>
      </c>
      <c r="E19" s="9" t="s">
        <v>399</v>
      </c>
    </row>
    <row r="20" spans="1:5" ht="15" customHeight="1" x14ac:dyDescent="0.25">
      <c r="A20" s="34">
        <v>17</v>
      </c>
      <c r="B20" s="9" t="s">
        <v>400</v>
      </c>
      <c r="C20" s="9" t="s">
        <v>401</v>
      </c>
      <c r="D20" s="9" t="s">
        <v>371</v>
      </c>
      <c r="E20" s="9" t="s">
        <v>402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7"/>
  <sheetViews>
    <sheetView zoomScaleNormal="100" workbookViewId="0"/>
  </sheetViews>
  <sheetFormatPr defaultColWidth="8.7109375" defaultRowHeight="15" x14ac:dyDescent="0.25"/>
  <cols>
    <col min="1" max="1" width="35" customWidth="1"/>
    <col min="2" max="2" width="90" customWidth="1"/>
  </cols>
  <sheetData>
    <row r="1" spans="1:1" ht="15.75" customHeight="1" x14ac:dyDescent="0.25">
      <c r="A1" s="1" t="s">
        <v>403</v>
      </c>
    </row>
    <row r="3" spans="1:1" ht="15" customHeight="1" x14ac:dyDescent="0.25">
      <c r="A3" s="32" t="s">
        <v>404</v>
      </c>
    </row>
    <row r="4" spans="1:1" ht="15" customHeight="1" x14ac:dyDescent="0.25">
      <c r="A4" s="9" t="s">
        <v>405</v>
      </c>
    </row>
    <row r="6" spans="1:1" ht="15" customHeight="1" x14ac:dyDescent="0.25">
      <c r="A6" s="32" t="s">
        <v>406</v>
      </c>
    </row>
    <row r="7" spans="1:1" ht="15" customHeight="1" x14ac:dyDescent="0.25">
      <c r="A7" s="9" t="s">
        <v>407</v>
      </c>
    </row>
    <row r="8" spans="1:1" ht="15" customHeight="1" x14ac:dyDescent="0.25">
      <c r="A8" s="9" t="s">
        <v>408</v>
      </c>
    </row>
    <row r="10" spans="1:1" ht="15" customHeight="1" x14ac:dyDescent="0.25">
      <c r="A10" s="32" t="s">
        <v>409</v>
      </c>
    </row>
    <row r="11" spans="1:1" ht="15" customHeight="1" x14ac:dyDescent="0.25">
      <c r="A11" s="9" t="s">
        <v>410</v>
      </c>
    </row>
    <row r="12" spans="1:1" ht="15" customHeight="1" x14ac:dyDescent="0.25">
      <c r="A12" s="9" t="s">
        <v>411</v>
      </c>
    </row>
    <row r="13" spans="1:1" ht="15" customHeight="1" x14ac:dyDescent="0.25">
      <c r="A13" s="9" t="s">
        <v>412</v>
      </c>
    </row>
    <row r="14" spans="1:1" ht="15" customHeight="1" x14ac:dyDescent="0.25">
      <c r="A14" s="9" t="s">
        <v>413</v>
      </c>
    </row>
    <row r="16" spans="1:1" ht="15" customHeight="1" x14ac:dyDescent="0.25">
      <c r="A16" s="32" t="s">
        <v>414</v>
      </c>
    </row>
    <row r="17" spans="1:1" ht="15" customHeight="1" x14ac:dyDescent="0.25">
      <c r="A17" s="9" t="s">
        <v>415</v>
      </c>
    </row>
    <row r="18" spans="1:1" ht="15" customHeight="1" x14ac:dyDescent="0.25">
      <c r="A18" s="9" t="s">
        <v>416</v>
      </c>
    </row>
    <row r="19" spans="1:1" ht="15" customHeight="1" x14ac:dyDescent="0.25">
      <c r="A19" s="9" t="s">
        <v>417</v>
      </c>
    </row>
    <row r="20" spans="1:1" ht="15" customHeight="1" x14ac:dyDescent="0.25">
      <c r="A20" s="9" t="s">
        <v>418</v>
      </c>
    </row>
    <row r="21" spans="1:1" ht="15" customHeight="1" x14ac:dyDescent="0.25">
      <c r="A21" s="9" t="s">
        <v>419</v>
      </c>
    </row>
    <row r="23" spans="1:1" ht="15" customHeight="1" x14ac:dyDescent="0.25">
      <c r="A23" s="9" t="s">
        <v>420</v>
      </c>
    </row>
    <row r="24" spans="1:1" ht="15" customHeight="1" x14ac:dyDescent="0.25">
      <c r="A24" s="9" t="s">
        <v>421</v>
      </c>
    </row>
    <row r="26" spans="1:1" ht="15" customHeight="1" x14ac:dyDescent="0.25">
      <c r="A26" s="32" t="s">
        <v>422</v>
      </c>
    </row>
    <row r="27" spans="1:1" ht="15" customHeight="1" x14ac:dyDescent="0.25">
      <c r="A27" s="9" t="s">
        <v>423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US Capex Model</vt:lpstr>
      <vt:lpstr>Utilization Research</vt:lpstr>
      <vt:lpstr>US Share Research</vt:lpstr>
      <vt:lpstr>GW-TWh Conversion</vt:lpstr>
      <vt:lpstr>Railroad CPI</vt:lpstr>
      <vt:lpstr>Telecom CPI</vt:lpstr>
      <vt:lpstr>Cost Sources</vt:lpstr>
      <vt:lpstr>Methodology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0</cp:revision>
  <dcterms:created xsi:type="dcterms:W3CDTF">2026-03-29T14:53:41Z</dcterms:created>
  <dcterms:modified xsi:type="dcterms:W3CDTF">2026-03-29T18:56:14Z</dcterms:modified>
  <dc:language>en-US</dc:language>
</cp:coreProperties>
</file>