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2.xml" ContentType="application/vnd.openxmlformats-officedocument.drawing+xml"/>
  <Override PartName="/xl/comments4.xml" ContentType="application/vnd.openxmlformats-officedocument.spreadsheetml.comments+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9aac09319cb0cc50/Desktop/MIT (July 2025)/MIT CRE Spring 2026/CRE42/CRE42 website/REIT FILES/"/>
    </mc:Choice>
  </mc:AlternateContent>
  <xr:revisionPtr revIDLastSave="4" documentId="11_1B1E735281CD2BEC5A418745C3849DB63C35658E" xr6:coauthVersionLast="47" xr6:coauthVersionMax="47" xr10:uidLastSave="{D9ED7D23-5364-4253-A340-A26D9AE679FF}"/>
  <bookViews>
    <workbookView xWindow="-28920" yWindow="-120" windowWidth="29040" windowHeight="15720" tabRatio="500" activeTab="11" xr2:uid="{00000000-000D-0000-FFFF-FFFF00000000}"/>
  </bookViews>
  <sheets>
    <sheet name="Sources" sheetId="1" r:id="rId1"/>
    <sheet name="EGP" sheetId="2" r:id="rId2"/>
    <sheet name="FR" sheetId="3" r:id="rId3"/>
    <sheet name="STAG" sheetId="4" r:id="rId4"/>
    <sheet name="WALT_Calc_EGP" sheetId="5" r:id="rId5"/>
    <sheet name="WALT_Calc_FR" sheetId="6" r:id="rId6"/>
    <sheet name="WALT_Calc_STAG" sheetId="7" r:id="rId7"/>
    <sheet name="Composite" sheetId="8" r:id="rId8"/>
    <sheet name="EGP vs Market" sheetId="9" r:id="rId9"/>
    <sheet name="FR vs Market" sheetId="10" r:id="rId10"/>
    <sheet name="STAG vs Market" sheetId="11" r:id="rId11"/>
    <sheet name="Composite vs Market" sheetId="12" r:id="rId12"/>
    <sheet name="Costar - US Industrial" sheetId="13" r:id="rId13"/>
    <sheet name="Green Street National" sheetId="14" r:id="rId14"/>
    <sheet name="GS Regional Mar 2026" sheetId="15" r:id="rId15"/>
    <sheet name="Inflation" sheetId="16" r:id="rId16"/>
    <sheet name="10 YR UST" sheetId="17" r:id="rId17"/>
    <sheet name="Prime Rate"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9" i="16" l="1"/>
  <c r="F19" i="16"/>
  <c r="E19" i="16"/>
  <c r="D19" i="16"/>
  <c r="V13" i="11" s="1"/>
  <c r="G18" i="16"/>
  <c r="S12" i="11" s="1"/>
  <c r="F18" i="16"/>
  <c r="E18" i="16"/>
  <c r="D18" i="16"/>
  <c r="G17" i="16"/>
  <c r="F17" i="16"/>
  <c r="E17" i="16"/>
  <c r="D17" i="16"/>
  <c r="G16" i="16"/>
  <c r="S10" i="10" s="1"/>
  <c r="F16" i="16"/>
  <c r="E16" i="16"/>
  <c r="D16" i="16"/>
  <c r="G15" i="16"/>
  <c r="F15" i="16"/>
  <c r="E15" i="16"/>
  <c r="D15" i="16"/>
  <c r="G14" i="16"/>
  <c r="S8" i="11" s="1"/>
  <c r="F14" i="16"/>
  <c r="E14" i="16"/>
  <c r="D14" i="16"/>
  <c r="G13" i="16"/>
  <c r="F13" i="16"/>
  <c r="E13" i="16"/>
  <c r="D13" i="16"/>
  <c r="G12" i="16"/>
  <c r="S6" i="10" s="1"/>
  <c r="F12" i="16"/>
  <c r="E12" i="16"/>
  <c r="D12" i="16"/>
  <c r="G11" i="16"/>
  <c r="F11" i="16"/>
  <c r="E11" i="16"/>
  <c r="D11" i="16"/>
  <c r="G10" i="16"/>
  <c r="F10" i="16"/>
  <c r="E10" i="16"/>
  <c r="D10" i="16"/>
  <c r="G9" i="16"/>
  <c r="F9" i="16"/>
  <c r="E9" i="16"/>
  <c r="D9" i="16"/>
  <c r="G8" i="16"/>
  <c r="F8" i="16"/>
  <c r="E8" i="16"/>
  <c r="D8" i="16"/>
  <c r="G7" i="16"/>
  <c r="F7" i="16"/>
  <c r="E7" i="16"/>
  <c r="D7" i="16"/>
  <c r="G6" i="16"/>
  <c r="F6" i="16"/>
  <c r="E6" i="16"/>
  <c r="D6" i="16"/>
  <c r="G5" i="16"/>
  <c r="F5" i="16"/>
  <c r="E5" i="16"/>
  <c r="D5" i="16"/>
  <c r="E4" i="16"/>
  <c r="D4" i="16"/>
  <c r="I18" i="14"/>
  <c r="H18" i="14"/>
  <c r="I17" i="14"/>
  <c r="H17" i="14"/>
  <c r="I16" i="14"/>
  <c r="H16" i="14"/>
  <c r="I15" i="14"/>
  <c r="H15" i="14"/>
  <c r="I14" i="14"/>
  <c r="H14" i="14"/>
  <c r="F14" i="14"/>
  <c r="I13" i="14"/>
  <c r="H13" i="14"/>
  <c r="F13" i="14"/>
  <c r="I12" i="14"/>
  <c r="H12" i="14"/>
  <c r="F12" i="14"/>
  <c r="I11" i="14"/>
  <c r="H11" i="14"/>
  <c r="F11" i="14"/>
  <c r="I10" i="14"/>
  <c r="H10" i="14"/>
  <c r="F10" i="14"/>
  <c r="I9" i="14"/>
  <c r="H9" i="14"/>
  <c r="F9" i="14"/>
  <c r="I8" i="14"/>
  <c r="H8" i="14"/>
  <c r="F8" i="14"/>
  <c r="I7" i="14"/>
  <c r="H7" i="14"/>
  <c r="F7" i="14"/>
  <c r="U7" i="10" s="1"/>
  <c r="I6" i="14"/>
  <c r="H6" i="14"/>
  <c r="F6" i="14"/>
  <c r="I5" i="14"/>
  <c r="H5" i="14"/>
  <c r="F5" i="14"/>
  <c r="I4" i="14"/>
  <c r="H4" i="14"/>
  <c r="F4" i="14"/>
  <c r="AB13" i="11"/>
  <c r="AA13" i="11"/>
  <c r="Z13" i="11"/>
  <c r="Y13" i="11"/>
  <c r="X13" i="11"/>
  <c r="W13" i="11"/>
  <c r="U13" i="11"/>
  <c r="T13" i="11"/>
  <c r="S13" i="11"/>
  <c r="P13" i="11"/>
  <c r="L13" i="11"/>
  <c r="I13" i="11"/>
  <c r="H13" i="11"/>
  <c r="G13" i="11"/>
  <c r="AE12" i="11"/>
  <c r="AB12" i="11"/>
  <c r="AA12" i="11"/>
  <c r="Z12" i="11"/>
  <c r="Y12" i="11"/>
  <c r="X12" i="11"/>
  <c r="T12" i="11"/>
  <c r="P12" i="11"/>
  <c r="L12" i="11"/>
  <c r="AE13" i="11" s="1"/>
  <c r="I12" i="11"/>
  <c r="H12" i="11"/>
  <c r="G12" i="11"/>
  <c r="AB11" i="11"/>
  <c r="AA11" i="11"/>
  <c r="Z11" i="11"/>
  <c r="Y11" i="11"/>
  <c r="X11" i="11"/>
  <c r="W11" i="11"/>
  <c r="V11" i="11"/>
  <c r="U11" i="11"/>
  <c r="T11" i="11"/>
  <c r="S11" i="11"/>
  <c r="P11" i="11"/>
  <c r="L11" i="11"/>
  <c r="I11" i="11"/>
  <c r="H11" i="11"/>
  <c r="G11" i="11"/>
  <c r="AB10" i="11"/>
  <c r="AA10" i="11"/>
  <c r="Z10" i="11"/>
  <c r="Y10" i="11"/>
  <c r="X10" i="11"/>
  <c r="T10" i="11"/>
  <c r="S10" i="11"/>
  <c r="P10" i="11"/>
  <c r="L10" i="11"/>
  <c r="AE11" i="11" s="1"/>
  <c r="I10" i="11"/>
  <c r="H10" i="11"/>
  <c r="G10" i="11"/>
  <c r="AB9" i="11"/>
  <c r="AA9" i="11"/>
  <c r="Z9" i="11"/>
  <c r="Y9" i="11"/>
  <c r="X9" i="11"/>
  <c r="W9" i="11"/>
  <c r="V9" i="11"/>
  <c r="T9" i="11"/>
  <c r="S9" i="11"/>
  <c r="P9" i="11"/>
  <c r="L9" i="11"/>
  <c r="I9" i="11"/>
  <c r="H9" i="11"/>
  <c r="G9" i="11"/>
  <c r="AB8" i="11"/>
  <c r="AA8" i="11"/>
  <c r="Z8" i="11"/>
  <c r="Y8" i="11"/>
  <c r="X8" i="11"/>
  <c r="U8" i="11"/>
  <c r="T8" i="11"/>
  <c r="P8" i="11"/>
  <c r="L8" i="11"/>
  <c r="AE9" i="11" s="1"/>
  <c r="I8" i="11"/>
  <c r="H8" i="11"/>
  <c r="G8" i="11"/>
  <c r="AE7" i="11"/>
  <c r="AB7" i="11"/>
  <c r="AA7" i="11"/>
  <c r="Z7" i="11"/>
  <c r="Y7" i="11"/>
  <c r="X7" i="11"/>
  <c r="W7" i="11"/>
  <c r="V7" i="11"/>
  <c r="U7" i="11"/>
  <c r="T7" i="11"/>
  <c r="S7" i="11"/>
  <c r="P7" i="11"/>
  <c r="L7" i="11"/>
  <c r="AE8" i="11" s="1"/>
  <c r="I7" i="11"/>
  <c r="H7" i="11"/>
  <c r="G7" i="11"/>
  <c r="AB6" i="11"/>
  <c r="AA6" i="11"/>
  <c r="Z6" i="11"/>
  <c r="Y6" i="11"/>
  <c r="X6" i="11"/>
  <c r="U6" i="11"/>
  <c r="T6" i="11"/>
  <c r="S6" i="11"/>
  <c r="P6" i="11"/>
  <c r="L6" i="11"/>
  <c r="I6" i="11"/>
  <c r="H6" i="11"/>
  <c r="G6" i="11"/>
  <c r="AB5" i="11"/>
  <c r="AA5" i="11"/>
  <c r="Z5" i="11"/>
  <c r="Y5" i="11"/>
  <c r="AC5" i="11" s="1"/>
  <c r="AC6" i="11" s="1"/>
  <c r="AC7" i="11" s="1"/>
  <c r="AC8" i="11" s="1"/>
  <c r="AC9" i="11" s="1"/>
  <c r="AC10" i="11" s="1"/>
  <c r="AC11" i="11" s="1"/>
  <c r="AC12" i="11" s="1"/>
  <c r="AC13" i="11" s="1"/>
  <c r="X5" i="11"/>
  <c r="W5" i="11"/>
  <c r="V5" i="11"/>
  <c r="U5" i="11"/>
  <c r="T5" i="11"/>
  <c r="S5" i="11"/>
  <c r="P5" i="11"/>
  <c r="L5" i="11"/>
  <c r="AE6" i="11" s="1"/>
  <c r="I5" i="11"/>
  <c r="H5" i="11"/>
  <c r="G5" i="11"/>
  <c r="AF4" i="11"/>
  <c r="AE4" i="11"/>
  <c r="AB4" i="11"/>
  <c r="AA4" i="11"/>
  <c r="Z4" i="11"/>
  <c r="Y4" i="11"/>
  <c r="X4" i="11"/>
  <c r="T4" i="11"/>
  <c r="P4" i="11"/>
  <c r="L4" i="11"/>
  <c r="AE5" i="11" s="1"/>
  <c r="I4" i="11"/>
  <c r="H4" i="11"/>
  <c r="G4" i="11"/>
  <c r="AB13" i="10"/>
  <c r="AA13" i="10"/>
  <c r="Z13" i="10"/>
  <c r="Y13" i="10"/>
  <c r="X13" i="10"/>
  <c r="W13" i="10"/>
  <c r="V13" i="10"/>
  <c r="U13" i="10"/>
  <c r="T13" i="10"/>
  <c r="S13" i="10"/>
  <c r="P13" i="10"/>
  <c r="L13" i="10"/>
  <c r="I13" i="10"/>
  <c r="H13" i="10"/>
  <c r="G13" i="10"/>
  <c r="AB12" i="10"/>
  <c r="AA12" i="10"/>
  <c r="Z12" i="10"/>
  <c r="Y12" i="10"/>
  <c r="X12" i="10"/>
  <c r="T12" i="10"/>
  <c r="S12" i="10"/>
  <c r="P12" i="10"/>
  <c r="L12" i="10"/>
  <c r="AE13" i="10" s="1"/>
  <c r="I12" i="10"/>
  <c r="H12" i="10"/>
  <c r="G12" i="10"/>
  <c r="AB11" i="10"/>
  <c r="AA11" i="10"/>
  <c r="Z11" i="10"/>
  <c r="Y11" i="10"/>
  <c r="X11" i="10"/>
  <c r="W11" i="10"/>
  <c r="V11" i="10"/>
  <c r="U11" i="10"/>
  <c r="T11" i="10"/>
  <c r="S11" i="10"/>
  <c r="P11" i="10"/>
  <c r="L11" i="10"/>
  <c r="AE12" i="10" s="1"/>
  <c r="I11" i="10"/>
  <c r="H11" i="10"/>
  <c r="G11" i="10"/>
  <c r="AE10" i="10"/>
  <c r="AB10" i="10"/>
  <c r="AA10" i="10"/>
  <c r="Z10" i="10"/>
  <c r="Y10" i="10"/>
  <c r="X10" i="10"/>
  <c r="U10" i="10"/>
  <c r="T10" i="10"/>
  <c r="P10" i="10"/>
  <c r="L10" i="10"/>
  <c r="AE11" i="10" s="1"/>
  <c r="I10" i="10"/>
  <c r="H10" i="10"/>
  <c r="G10" i="10"/>
  <c r="AB9" i="10"/>
  <c r="AA9" i="10"/>
  <c r="Z9" i="10"/>
  <c r="Y9" i="10"/>
  <c r="X9" i="10"/>
  <c r="W9" i="10"/>
  <c r="V9" i="10"/>
  <c r="T9" i="10"/>
  <c r="S9" i="10"/>
  <c r="P9" i="10"/>
  <c r="L9" i="10"/>
  <c r="I9" i="10"/>
  <c r="H9" i="10"/>
  <c r="G9" i="10"/>
  <c r="AB8" i="10"/>
  <c r="AA8" i="10"/>
  <c r="Z8" i="10"/>
  <c r="Y8" i="10"/>
  <c r="X8" i="10"/>
  <c r="U8" i="10"/>
  <c r="T8" i="10"/>
  <c r="S8" i="10"/>
  <c r="P8" i="10"/>
  <c r="L8" i="10"/>
  <c r="AE9" i="10" s="1"/>
  <c r="I8" i="10"/>
  <c r="H8" i="10"/>
  <c r="G8" i="10"/>
  <c r="AE7" i="10"/>
  <c r="AB7" i="10"/>
  <c r="AA7" i="10"/>
  <c r="Z7" i="10"/>
  <c r="Y7" i="10"/>
  <c r="X7" i="10"/>
  <c r="W7" i="10"/>
  <c r="V7" i="10"/>
  <c r="T7" i="10"/>
  <c r="S7" i="10"/>
  <c r="P7" i="10"/>
  <c r="L7" i="10"/>
  <c r="AE8" i="10" s="1"/>
  <c r="I7" i="10"/>
  <c r="H7" i="10"/>
  <c r="G7" i="10"/>
  <c r="AE6" i="10"/>
  <c r="AC6" i="10"/>
  <c r="AB6" i="10"/>
  <c r="AA6" i="10"/>
  <c r="Z6" i="10"/>
  <c r="Y6" i="10"/>
  <c r="X6" i="10"/>
  <c r="U6" i="10"/>
  <c r="T6" i="10"/>
  <c r="P6" i="10"/>
  <c r="L6" i="10"/>
  <c r="I6" i="10"/>
  <c r="H6" i="10"/>
  <c r="G6" i="10"/>
  <c r="AC5" i="10"/>
  <c r="AB5" i="10"/>
  <c r="AA5" i="10"/>
  <c r="Z5" i="10"/>
  <c r="Y5" i="10"/>
  <c r="X5" i="10"/>
  <c r="W5" i="10"/>
  <c r="V5" i="10"/>
  <c r="U5" i="10"/>
  <c r="T5" i="10"/>
  <c r="S5" i="10"/>
  <c r="P5" i="10"/>
  <c r="L5" i="10"/>
  <c r="AE5" i="10" s="1"/>
  <c r="I5" i="10"/>
  <c r="H5" i="10"/>
  <c r="G5" i="10"/>
  <c r="AF4" i="10"/>
  <c r="AE4" i="10"/>
  <c r="AB4" i="10"/>
  <c r="AA4" i="10"/>
  <c r="Z4" i="10"/>
  <c r="Y4" i="10"/>
  <c r="X4" i="10"/>
  <c r="T4" i="10"/>
  <c r="P4" i="10"/>
  <c r="L4" i="10"/>
  <c r="I4" i="10"/>
  <c r="H4" i="10"/>
  <c r="G4" i="10"/>
  <c r="AE13" i="9"/>
  <c r="AB13" i="9"/>
  <c r="AA13" i="9"/>
  <c r="Z13" i="9"/>
  <c r="Y13" i="9"/>
  <c r="X13" i="9"/>
  <c r="W13" i="9"/>
  <c r="V13" i="9"/>
  <c r="U13" i="9"/>
  <c r="T13" i="9"/>
  <c r="S13" i="9"/>
  <c r="P13" i="9"/>
  <c r="L13" i="9"/>
  <c r="I13" i="9"/>
  <c r="H13" i="9"/>
  <c r="G13" i="9"/>
  <c r="AE12" i="9"/>
  <c r="AB12" i="9"/>
  <c r="AA12" i="9"/>
  <c r="Z12" i="9"/>
  <c r="Y12" i="9"/>
  <c r="X12" i="9"/>
  <c r="T12" i="9"/>
  <c r="S12" i="9"/>
  <c r="P12" i="9"/>
  <c r="L12" i="9"/>
  <c r="I12" i="9"/>
  <c r="H12" i="9"/>
  <c r="G12" i="9"/>
  <c r="AB11" i="9"/>
  <c r="AA11" i="9"/>
  <c r="Z11" i="9"/>
  <c r="Y11" i="9"/>
  <c r="X11" i="9"/>
  <c r="W11" i="9"/>
  <c r="V11" i="9"/>
  <c r="U11" i="9"/>
  <c r="T11" i="9"/>
  <c r="S11" i="9"/>
  <c r="P11" i="9"/>
  <c r="L11" i="9"/>
  <c r="I11" i="9"/>
  <c r="H11" i="9"/>
  <c r="G11" i="9"/>
  <c r="AB10" i="9"/>
  <c r="AA10" i="9"/>
  <c r="Z10" i="9"/>
  <c r="Y10" i="9"/>
  <c r="X10" i="9"/>
  <c r="T10" i="9"/>
  <c r="S10" i="9"/>
  <c r="P10" i="9"/>
  <c r="L10" i="9"/>
  <c r="AE11" i="9" s="1"/>
  <c r="I10" i="9"/>
  <c r="H10" i="9"/>
  <c r="G10" i="9"/>
  <c r="AB9" i="9"/>
  <c r="AA9" i="9"/>
  <c r="Z9" i="9"/>
  <c r="Y9" i="9"/>
  <c r="X9" i="9"/>
  <c r="W9" i="9"/>
  <c r="V9" i="9"/>
  <c r="T9" i="9"/>
  <c r="S9" i="9"/>
  <c r="P9" i="9"/>
  <c r="L9" i="9"/>
  <c r="AE10" i="9" s="1"/>
  <c r="I9" i="9"/>
  <c r="H9" i="9"/>
  <c r="G9" i="9"/>
  <c r="AB8" i="9"/>
  <c r="AA8" i="9"/>
  <c r="Z8" i="9"/>
  <c r="Y8" i="9"/>
  <c r="X8" i="9"/>
  <c r="U8" i="9"/>
  <c r="T8" i="9"/>
  <c r="S8" i="9"/>
  <c r="P8" i="9"/>
  <c r="N8" i="9"/>
  <c r="L8" i="9"/>
  <c r="AE9" i="9" s="1"/>
  <c r="I8" i="9"/>
  <c r="H8" i="9"/>
  <c r="G8" i="9"/>
  <c r="AC7" i="9"/>
  <c r="AC8" i="9" s="1"/>
  <c r="AB7" i="9"/>
  <c r="AA7" i="9"/>
  <c r="Z7" i="9"/>
  <c r="Y7" i="9"/>
  <c r="X7" i="9"/>
  <c r="W7" i="9"/>
  <c r="V7" i="9"/>
  <c r="U7" i="9"/>
  <c r="T7" i="9"/>
  <c r="S7" i="9"/>
  <c r="P7" i="9"/>
  <c r="L7" i="9"/>
  <c r="AE8" i="9" s="1"/>
  <c r="I7" i="9"/>
  <c r="H7" i="9"/>
  <c r="G7" i="9"/>
  <c r="C7" i="9"/>
  <c r="AC6" i="9"/>
  <c r="AB6" i="9"/>
  <c r="AA6" i="9"/>
  <c r="Z6" i="9"/>
  <c r="Y6" i="9"/>
  <c r="X6" i="9"/>
  <c r="U6" i="9"/>
  <c r="T6" i="9"/>
  <c r="S6" i="9"/>
  <c r="P6" i="9"/>
  <c r="L6" i="9"/>
  <c r="AE7" i="9" s="1"/>
  <c r="I6" i="9"/>
  <c r="H6" i="9"/>
  <c r="G6" i="9"/>
  <c r="AC5" i="9"/>
  <c r="AB5" i="9"/>
  <c r="AA5" i="9"/>
  <c r="Z5" i="9"/>
  <c r="Y5" i="9"/>
  <c r="X5" i="9"/>
  <c r="W5" i="9"/>
  <c r="V5" i="9"/>
  <c r="U5" i="9"/>
  <c r="T5" i="9"/>
  <c r="S5" i="9"/>
  <c r="P5" i="9"/>
  <c r="N5" i="9"/>
  <c r="L5" i="9"/>
  <c r="AE6" i="9" s="1"/>
  <c r="I5" i="9"/>
  <c r="H5" i="9"/>
  <c r="G5" i="9"/>
  <c r="AF4" i="9"/>
  <c r="AE4" i="9"/>
  <c r="AB4" i="9"/>
  <c r="AA4" i="9"/>
  <c r="Z4" i="9"/>
  <c r="Y4" i="9"/>
  <c r="X4" i="9"/>
  <c r="T4" i="9"/>
  <c r="S4" i="9"/>
  <c r="P4" i="9"/>
  <c r="L4" i="9"/>
  <c r="AE5" i="9" s="1"/>
  <c r="I4" i="9"/>
  <c r="H4" i="9"/>
  <c r="G4" i="9"/>
  <c r="AE81" i="8"/>
  <c r="X81" i="8"/>
  <c r="W81" i="8"/>
  <c r="T81" i="8"/>
  <c r="S81" i="8"/>
  <c r="R81" i="8"/>
  <c r="M81" i="8"/>
  <c r="I81" i="8"/>
  <c r="H81" i="8"/>
  <c r="E81" i="8"/>
  <c r="C81" i="8"/>
  <c r="B81" i="8"/>
  <c r="A81" i="8"/>
  <c r="AE80" i="8"/>
  <c r="X80" i="8"/>
  <c r="W80" i="8"/>
  <c r="T80" i="8"/>
  <c r="S80" i="8"/>
  <c r="R80" i="8"/>
  <c r="M80" i="8"/>
  <c r="I80" i="8"/>
  <c r="H80" i="8"/>
  <c r="F80" i="8"/>
  <c r="E80" i="8"/>
  <c r="C80" i="8"/>
  <c r="B80" i="8"/>
  <c r="A80" i="8"/>
  <c r="AE79" i="8"/>
  <c r="X79" i="8"/>
  <c r="W79" i="8"/>
  <c r="T79" i="8"/>
  <c r="S79" i="8"/>
  <c r="R79" i="8"/>
  <c r="N79" i="8"/>
  <c r="M79" i="8"/>
  <c r="I79" i="8"/>
  <c r="H79" i="8"/>
  <c r="E79" i="8"/>
  <c r="C79" i="8"/>
  <c r="B79" i="8"/>
  <c r="A79" i="8"/>
  <c r="AE78" i="8"/>
  <c r="X78" i="8"/>
  <c r="W78" i="8"/>
  <c r="T78" i="8"/>
  <c r="S78" i="8"/>
  <c r="R78" i="8"/>
  <c r="N78" i="8"/>
  <c r="M78" i="8"/>
  <c r="I78" i="8"/>
  <c r="H78" i="8"/>
  <c r="E78" i="8"/>
  <c r="C78" i="8"/>
  <c r="B78" i="8"/>
  <c r="A78" i="8"/>
  <c r="AE77" i="8"/>
  <c r="X77" i="8"/>
  <c r="W77" i="8"/>
  <c r="T77" i="8"/>
  <c r="S77" i="8"/>
  <c r="R77" i="8"/>
  <c r="N77" i="8"/>
  <c r="M77" i="8"/>
  <c r="I77" i="8"/>
  <c r="H77" i="8"/>
  <c r="E77" i="8"/>
  <c r="C77" i="8"/>
  <c r="B77" i="8"/>
  <c r="A77" i="8"/>
  <c r="AE76" i="8"/>
  <c r="X76" i="8"/>
  <c r="W76" i="8"/>
  <c r="T76" i="8"/>
  <c r="S76" i="8"/>
  <c r="R76" i="8"/>
  <c r="N76" i="8"/>
  <c r="M76" i="8"/>
  <c r="I76" i="8"/>
  <c r="H76" i="8"/>
  <c r="E76" i="8"/>
  <c r="C76" i="8"/>
  <c r="B76" i="8"/>
  <c r="A76" i="8"/>
  <c r="AE75" i="8"/>
  <c r="X75" i="8"/>
  <c r="W75" i="8"/>
  <c r="U75" i="8"/>
  <c r="T75" i="8"/>
  <c r="S75" i="8"/>
  <c r="R75" i="8"/>
  <c r="N75" i="8"/>
  <c r="M75" i="8"/>
  <c r="I75" i="8"/>
  <c r="H75" i="8"/>
  <c r="E75" i="8"/>
  <c r="C75" i="8"/>
  <c r="B75" i="8"/>
  <c r="A75" i="8"/>
  <c r="AE74" i="8"/>
  <c r="X74" i="8"/>
  <c r="W74" i="8"/>
  <c r="U74" i="8"/>
  <c r="T74" i="8"/>
  <c r="S74" i="8"/>
  <c r="R74" i="8"/>
  <c r="N74" i="8"/>
  <c r="M74" i="8"/>
  <c r="I74" i="8"/>
  <c r="H74" i="8"/>
  <c r="E74" i="8"/>
  <c r="C74" i="8"/>
  <c r="B74" i="8"/>
  <c r="A74" i="8"/>
  <c r="AE73" i="8"/>
  <c r="X73" i="8"/>
  <c r="W73" i="8"/>
  <c r="U73" i="8"/>
  <c r="T73" i="8"/>
  <c r="S73" i="8"/>
  <c r="R73" i="8"/>
  <c r="N73" i="8"/>
  <c r="M73" i="8"/>
  <c r="I73" i="8"/>
  <c r="H73" i="8"/>
  <c r="E73" i="8"/>
  <c r="C73" i="8"/>
  <c r="B73" i="8"/>
  <c r="A73" i="8"/>
  <c r="AE72" i="8"/>
  <c r="X72" i="8"/>
  <c r="W72" i="8"/>
  <c r="U72" i="8"/>
  <c r="T72" i="8"/>
  <c r="S72" i="8"/>
  <c r="R72" i="8"/>
  <c r="N72" i="8"/>
  <c r="M72" i="8"/>
  <c r="I72" i="8"/>
  <c r="H72" i="8"/>
  <c r="E72" i="8"/>
  <c r="C72" i="8"/>
  <c r="B72" i="8"/>
  <c r="A72" i="8"/>
  <c r="AE69" i="8"/>
  <c r="AD69" i="8"/>
  <c r="X69" i="8"/>
  <c r="W69" i="8"/>
  <c r="T69" i="8"/>
  <c r="S69" i="8"/>
  <c r="R69" i="8"/>
  <c r="N69" i="8"/>
  <c r="M69" i="8"/>
  <c r="I69" i="8"/>
  <c r="H69" i="8"/>
  <c r="F69" i="8"/>
  <c r="E69" i="8"/>
  <c r="C69" i="8"/>
  <c r="B69" i="8"/>
  <c r="A69" i="8"/>
  <c r="AE68" i="8"/>
  <c r="AD68" i="8"/>
  <c r="X68" i="8"/>
  <c r="W68" i="8"/>
  <c r="T68" i="8"/>
  <c r="S68" i="8"/>
  <c r="R68" i="8"/>
  <c r="N68" i="8"/>
  <c r="M68" i="8"/>
  <c r="I68" i="8"/>
  <c r="H68" i="8"/>
  <c r="G68" i="8"/>
  <c r="F68" i="8"/>
  <c r="E68" i="8"/>
  <c r="C68" i="8"/>
  <c r="B68" i="8"/>
  <c r="A68" i="8"/>
  <c r="AE67" i="8"/>
  <c r="AD67" i="8"/>
  <c r="X67" i="8"/>
  <c r="W67" i="8"/>
  <c r="T67" i="8"/>
  <c r="S67" i="8"/>
  <c r="R67" i="8"/>
  <c r="N67" i="8"/>
  <c r="M67" i="8"/>
  <c r="I67" i="8"/>
  <c r="H67" i="8"/>
  <c r="F67" i="8"/>
  <c r="E67" i="8"/>
  <c r="C67" i="8"/>
  <c r="B67" i="8"/>
  <c r="A67" i="8"/>
  <c r="AE66" i="8"/>
  <c r="AD66" i="8"/>
  <c r="X66" i="8"/>
  <c r="W66" i="8"/>
  <c r="T66" i="8"/>
  <c r="S66" i="8"/>
  <c r="R66" i="8"/>
  <c r="N66" i="8"/>
  <c r="M66" i="8"/>
  <c r="I66" i="8"/>
  <c r="H66" i="8"/>
  <c r="F66" i="8"/>
  <c r="E66" i="8"/>
  <c r="C66" i="8"/>
  <c r="B66" i="8"/>
  <c r="A66" i="8"/>
  <c r="AE65" i="8"/>
  <c r="AD65" i="8"/>
  <c r="X65" i="8"/>
  <c r="W65" i="8"/>
  <c r="T65" i="8"/>
  <c r="S65" i="8"/>
  <c r="R65" i="8"/>
  <c r="N65" i="8"/>
  <c r="M65" i="8"/>
  <c r="I65" i="8"/>
  <c r="H65" i="8"/>
  <c r="F65" i="8"/>
  <c r="E65" i="8"/>
  <c r="C65" i="8"/>
  <c r="B65" i="8"/>
  <c r="A65" i="8"/>
  <c r="AE64" i="8"/>
  <c r="AD64" i="8"/>
  <c r="X64" i="8"/>
  <c r="W64" i="8"/>
  <c r="T64" i="8"/>
  <c r="S64" i="8"/>
  <c r="R64" i="8"/>
  <c r="N64" i="8"/>
  <c r="M64" i="8"/>
  <c r="I64" i="8"/>
  <c r="H64" i="8"/>
  <c r="F64" i="8"/>
  <c r="E64" i="8"/>
  <c r="C64" i="8"/>
  <c r="B64" i="8"/>
  <c r="A64" i="8"/>
  <c r="AE63" i="8"/>
  <c r="AD63" i="8"/>
  <c r="X63" i="8"/>
  <c r="W63" i="8"/>
  <c r="T63" i="8"/>
  <c r="S63" i="8"/>
  <c r="R63" i="8"/>
  <c r="N63" i="8"/>
  <c r="M63" i="8"/>
  <c r="I63" i="8"/>
  <c r="H63" i="8"/>
  <c r="F63" i="8"/>
  <c r="E63" i="8"/>
  <c r="C63" i="8"/>
  <c r="B63" i="8"/>
  <c r="A63" i="8"/>
  <c r="AE62" i="8"/>
  <c r="AD62" i="8"/>
  <c r="X62" i="8"/>
  <c r="W62" i="8"/>
  <c r="T62" i="8"/>
  <c r="S62" i="8"/>
  <c r="R62" i="8"/>
  <c r="N62" i="8"/>
  <c r="M62" i="8"/>
  <c r="I62" i="8"/>
  <c r="H62" i="8"/>
  <c r="F62" i="8"/>
  <c r="E62" i="8"/>
  <c r="C62" i="8"/>
  <c r="B62" i="8"/>
  <c r="A62" i="8"/>
  <c r="AE61" i="8"/>
  <c r="AD61" i="8"/>
  <c r="X61" i="8"/>
  <c r="W61" i="8"/>
  <c r="T61" i="8"/>
  <c r="S61" i="8"/>
  <c r="R61" i="8"/>
  <c r="N61" i="8"/>
  <c r="M61" i="8"/>
  <c r="I61" i="8"/>
  <c r="H61" i="8"/>
  <c r="F61" i="8"/>
  <c r="E61" i="8"/>
  <c r="C61" i="8"/>
  <c r="B61" i="8"/>
  <c r="A61" i="8"/>
  <c r="AE60" i="8"/>
  <c r="AD60" i="8"/>
  <c r="X60" i="8"/>
  <c r="W60" i="8"/>
  <c r="T60" i="8"/>
  <c r="S60" i="8"/>
  <c r="R60" i="8"/>
  <c r="N60" i="8"/>
  <c r="M60" i="8"/>
  <c r="I60" i="8"/>
  <c r="H60" i="8"/>
  <c r="F60" i="8"/>
  <c r="E60" i="8"/>
  <c r="C60" i="8"/>
  <c r="B60" i="8"/>
  <c r="A60" i="8"/>
  <c r="AE57" i="8"/>
  <c r="AD57" i="8"/>
  <c r="X57" i="8"/>
  <c r="W57" i="8"/>
  <c r="T57" i="8"/>
  <c r="R57" i="8"/>
  <c r="N57" i="8"/>
  <c r="M57" i="8"/>
  <c r="I57" i="8"/>
  <c r="H57" i="8"/>
  <c r="F57" i="8"/>
  <c r="E57" i="8"/>
  <c r="C57" i="8"/>
  <c r="B57" i="8"/>
  <c r="A57" i="8"/>
  <c r="AE56" i="8"/>
  <c r="AD56" i="8"/>
  <c r="X56" i="8"/>
  <c r="W56" i="8"/>
  <c r="T56" i="8"/>
  <c r="R56" i="8"/>
  <c r="N56" i="8"/>
  <c r="M56" i="8"/>
  <c r="I56" i="8"/>
  <c r="H56" i="8"/>
  <c r="F56" i="8"/>
  <c r="E56" i="8"/>
  <c r="C56" i="8"/>
  <c r="B56" i="8"/>
  <c r="A56" i="8"/>
  <c r="AE55" i="8"/>
  <c r="AD55" i="8"/>
  <c r="X55" i="8"/>
  <c r="W55" i="8"/>
  <c r="T55" i="8"/>
  <c r="R55" i="8"/>
  <c r="N55" i="8"/>
  <c r="M55" i="8"/>
  <c r="L55" i="8"/>
  <c r="I55" i="8"/>
  <c r="H55" i="8"/>
  <c r="F55" i="8"/>
  <c r="E55" i="8"/>
  <c r="C55" i="8"/>
  <c r="B55" i="8"/>
  <c r="A55" i="8"/>
  <c r="AE54" i="8"/>
  <c r="AD54" i="8"/>
  <c r="X54" i="8"/>
  <c r="W54" i="8"/>
  <c r="T54" i="8"/>
  <c r="R54" i="8"/>
  <c r="N54" i="8"/>
  <c r="M54" i="8"/>
  <c r="I54" i="8"/>
  <c r="H54" i="8"/>
  <c r="F54" i="8"/>
  <c r="E54" i="8"/>
  <c r="C54" i="8"/>
  <c r="B54" i="8"/>
  <c r="A54" i="8"/>
  <c r="AE53" i="8"/>
  <c r="AD53" i="8"/>
  <c r="X53" i="8"/>
  <c r="W53" i="8"/>
  <c r="T53" i="8"/>
  <c r="R53" i="8"/>
  <c r="N53" i="8"/>
  <c r="M53" i="8"/>
  <c r="L53" i="8"/>
  <c r="I53" i="8"/>
  <c r="H53" i="8"/>
  <c r="F53" i="8"/>
  <c r="E53" i="8"/>
  <c r="C53" i="8"/>
  <c r="B53" i="8"/>
  <c r="A53" i="8"/>
  <c r="AE52" i="8"/>
  <c r="AD52" i="8"/>
  <c r="X52" i="8"/>
  <c r="W52" i="8"/>
  <c r="T52" i="8"/>
  <c r="R52" i="8"/>
  <c r="N52" i="8"/>
  <c r="M52" i="8"/>
  <c r="L52" i="8"/>
  <c r="I52" i="8"/>
  <c r="H52" i="8"/>
  <c r="F52" i="8"/>
  <c r="E52" i="8"/>
  <c r="C52" i="8"/>
  <c r="B52" i="8"/>
  <c r="A52" i="8"/>
  <c r="AE51" i="8"/>
  <c r="AD51" i="8"/>
  <c r="X51" i="8"/>
  <c r="W51" i="8"/>
  <c r="T51" i="8"/>
  <c r="R51" i="8"/>
  <c r="N51" i="8"/>
  <c r="M51" i="8"/>
  <c r="I51" i="8"/>
  <c r="H51" i="8"/>
  <c r="G51" i="8"/>
  <c r="F51" i="8"/>
  <c r="E51" i="8"/>
  <c r="C51" i="8"/>
  <c r="B51" i="8"/>
  <c r="A51" i="8"/>
  <c r="AE50" i="8"/>
  <c r="AD50" i="8"/>
  <c r="X50" i="8"/>
  <c r="W50" i="8"/>
  <c r="T50" i="8"/>
  <c r="R50" i="8"/>
  <c r="N50" i="8"/>
  <c r="M50" i="8"/>
  <c r="I50" i="8"/>
  <c r="H50" i="8"/>
  <c r="F50" i="8"/>
  <c r="E50" i="8"/>
  <c r="C50" i="8"/>
  <c r="B50" i="8"/>
  <c r="A50" i="8"/>
  <c r="AE49" i="8"/>
  <c r="AD49" i="8"/>
  <c r="Y49" i="8"/>
  <c r="X49" i="8"/>
  <c r="W49" i="8"/>
  <c r="T49" i="8"/>
  <c r="R49" i="8"/>
  <c r="N49" i="8"/>
  <c r="M49" i="8"/>
  <c r="I49" i="8"/>
  <c r="H49" i="8"/>
  <c r="G49" i="8"/>
  <c r="F49" i="8"/>
  <c r="E49" i="8"/>
  <c r="C49" i="8"/>
  <c r="B49" i="8"/>
  <c r="A49" i="8"/>
  <c r="AE48" i="8"/>
  <c r="AD48" i="8"/>
  <c r="X48" i="8"/>
  <c r="W48" i="8"/>
  <c r="T48" i="8"/>
  <c r="R48" i="8"/>
  <c r="N48" i="8"/>
  <c r="M48" i="8"/>
  <c r="I48" i="8"/>
  <c r="H48" i="8"/>
  <c r="F48" i="8"/>
  <c r="E48" i="8"/>
  <c r="C48" i="8"/>
  <c r="B48" i="8"/>
  <c r="A48" i="8"/>
  <c r="Y17" i="8"/>
  <c r="Y16" i="8"/>
  <c r="Y15" i="8"/>
  <c r="Y14" i="8"/>
  <c r="Y13" i="8"/>
  <c r="Y12" i="8"/>
  <c r="Y11" i="8"/>
  <c r="Y10" i="8"/>
  <c r="C11" i="12" s="1"/>
  <c r="Y9" i="8"/>
  <c r="Y8" i="8"/>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I16" i="7"/>
  <c r="AG16" i="4" s="1"/>
  <c r="AG80" i="8" s="1"/>
  <c r="C16" i="7"/>
  <c r="C15" i="7"/>
  <c r="C14" i="7"/>
  <c r="C13" i="7"/>
  <c r="C12" i="7"/>
  <c r="H11" i="7"/>
  <c r="AF11" i="4" s="1"/>
  <c r="AF75" i="8" s="1"/>
  <c r="C11" i="7"/>
  <c r="C10" i="7"/>
  <c r="C9" i="7"/>
  <c r="C8" i="7"/>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H9" i="6" s="1"/>
  <c r="AF16" i="3" s="1"/>
  <c r="AF68" i="8" s="1"/>
  <c r="C21" i="6"/>
  <c r="C20" i="6"/>
  <c r="C19" i="6"/>
  <c r="C18" i="6"/>
  <c r="C17" i="6"/>
  <c r="C16" i="6"/>
  <c r="I15" i="6"/>
  <c r="AG10" i="3" s="1"/>
  <c r="AG62" i="8" s="1"/>
  <c r="C15" i="6"/>
  <c r="C14" i="6"/>
  <c r="C13" i="6"/>
  <c r="I14" i="6" s="1"/>
  <c r="AG11" i="3" s="1"/>
  <c r="AG63" i="8" s="1"/>
  <c r="C12" i="6"/>
  <c r="C11" i="6"/>
  <c r="H10" i="6"/>
  <c r="AF15" i="3" s="1"/>
  <c r="AF67" i="8" s="1"/>
  <c r="C10" i="6"/>
  <c r="C9" i="6"/>
  <c r="C8" i="6"/>
  <c r="C107" i="5"/>
  <c r="C106" i="5"/>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I11" i="5" s="1"/>
  <c r="AG14" i="2" s="1"/>
  <c r="C12" i="5"/>
  <c r="C11" i="5"/>
  <c r="C10" i="5"/>
  <c r="H9" i="5"/>
  <c r="AF16" i="2" s="1"/>
  <c r="C9" i="5"/>
  <c r="C8" i="5"/>
  <c r="I10" i="5" s="1"/>
  <c r="AG15" i="2" s="1"/>
  <c r="AD17" i="4"/>
  <c r="AD81" i="8" s="1"/>
  <c r="AA17" i="4"/>
  <c r="Y17" i="4"/>
  <c r="V17" i="4"/>
  <c r="V81" i="8" s="1"/>
  <c r="U17" i="4"/>
  <c r="U81" i="8" s="1"/>
  <c r="N17" i="4"/>
  <c r="N81" i="8" s="1"/>
  <c r="L17" i="4"/>
  <c r="L81" i="8" s="1"/>
  <c r="K17" i="4"/>
  <c r="AC17" i="4" s="1"/>
  <c r="J17" i="4"/>
  <c r="J81" i="8" s="1"/>
  <c r="G17" i="4"/>
  <c r="G81" i="8" s="1"/>
  <c r="F17" i="4"/>
  <c r="F81" i="8" s="1"/>
  <c r="D17" i="4"/>
  <c r="AD16" i="4"/>
  <c r="AD80" i="8" s="1"/>
  <c r="Y16" i="4"/>
  <c r="U16" i="4"/>
  <c r="U80" i="8" s="1"/>
  <c r="O16" i="4"/>
  <c r="O80" i="8" s="1"/>
  <c r="N16" i="4"/>
  <c r="N80" i="8" s="1"/>
  <c r="L16" i="4"/>
  <c r="L80" i="8" s="1"/>
  <c r="J16" i="4"/>
  <c r="J80" i="8" s="1"/>
  <c r="G16" i="4"/>
  <c r="G80" i="8" s="1"/>
  <c r="F16" i="4"/>
  <c r="D16" i="4"/>
  <c r="AD15" i="4"/>
  <c r="AD79" i="8" s="1"/>
  <c r="Y15" i="4"/>
  <c r="V15" i="4"/>
  <c r="V79" i="8" s="1"/>
  <c r="U15" i="4"/>
  <c r="U79" i="8" s="1"/>
  <c r="L15" i="4"/>
  <c r="L79" i="8" s="1"/>
  <c r="J15" i="4"/>
  <c r="J79" i="8" s="1"/>
  <c r="G15" i="4"/>
  <c r="F15" i="4"/>
  <c r="F79" i="8" s="1"/>
  <c r="D15" i="4"/>
  <c r="AD14" i="4"/>
  <c r="AD78" i="8" s="1"/>
  <c r="Y14" i="4"/>
  <c r="V14" i="4"/>
  <c r="V78" i="8" s="1"/>
  <c r="U14" i="4"/>
  <c r="U78" i="8" s="1"/>
  <c r="L14" i="4"/>
  <c r="L78" i="8" s="1"/>
  <c r="J14" i="4"/>
  <c r="J78" i="8" s="1"/>
  <c r="F14" i="4"/>
  <c r="F78" i="8" s="1"/>
  <c r="D14" i="4"/>
  <c r="AD13" i="4"/>
  <c r="AD77" i="8" s="1"/>
  <c r="Y13" i="4"/>
  <c r="U13" i="4"/>
  <c r="L13" i="4"/>
  <c r="J13" i="4"/>
  <c r="J77" i="8" s="1"/>
  <c r="F13" i="4"/>
  <c r="D13" i="4"/>
  <c r="AD12" i="4"/>
  <c r="AD76" i="8" s="1"/>
  <c r="Y12" i="4"/>
  <c r="V12" i="4"/>
  <c r="V76" i="8" s="1"/>
  <c r="U12" i="4"/>
  <c r="U76" i="8" s="1"/>
  <c r="O12" i="4"/>
  <c r="O76" i="8" s="1"/>
  <c r="L12" i="4"/>
  <c r="L76" i="8" s="1"/>
  <c r="K12" i="4"/>
  <c r="J12" i="4"/>
  <c r="J76" i="8" s="1"/>
  <c r="G12" i="4"/>
  <c r="G76" i="8" s="1"/>
  <c r="F12" i="4"/>
  <c r="F76" i="8" s="1"/>
  <c r="D12" i="4"/>
  <c r="AD11" i="4"/>
  <c r="AD75" i="8" s="1"/>
  <c r="Y11" i="4"/>
  <c r="V11" i="4"/>
  <c r="V75" i="8" s="1"/>
  <c r="L11" i="4"/>
  <c r="L75" i="8" s="1"/>
  <c r="K11" i="4"/>
  <c r="O10" i="11" s="1"/>
  <c r="J11" i="4"/>
  <c r="J75" i="8" s="1"/>
  <c r="G11" i="4"/>
  <c r="F11" i="4"/>
  <c r="F75" i="8" s="1"/>
  <c r="D11" i="4"/>
  <c r="AD10" i="4"/>
  <c r="AD74" i="8" s="1"/>
  <c r="Y10" i="4"/>
  <c r="V10" i="4"/>
  <c r="V74" i="8" s="1"/>
  <c r="O10" i="4"/>
  <c r="O74" i="8" s="1"/>
  <c r="L10" i="4"/>
  <c r="L74" i="8" s="1"/>
  <c r="K10" i="4"/>
  <c r="J10" i="4"/>
  <c r="J74" i="8" s="1"/>
  <c r="G10" i="4"/>
  <c r="P10" i="4" s="1"/>
  <c r="P74" i="8" s="1"/>
  <c r="F10" i="4"/>
  <c r="F74" i="8" s="1"/>
  <c r="D10" i="4"/>
  <c r="D74" i="8" s="1"/>
  <c r="AD9" i="4"/>
  <c r="AD73" i="8" s="1"/>
  <c r="Y9" i="4"/>
  <c r="V9" i="4"/>
  <c r="V73" i="8" s="1"/>
  <c r="L9" i="4"/>
  <c r="L73" i="8" s="1"/>
  <c r="K9" i="4"/>
  <c r="J9" i="4"/>
  <c r="J73" i="8" s="1"/>
  <c r="G9" i="4"/>
  <c r="F9" i="4"/>
  <c r="F73" i="8" s="1"/>
  <c r="D9" i="4"/>
  <c r="AD8" i="4"/>
  <c r="AD72" i="8" s="1"/>
  <c r="Y8" i="4"/>
  <c r="V8" i="4"/>
  <c r="V72" i="8" s="1"/>
  <c r="O8" i="4"/>
  <c r="O72" i="8" s="1"/>
  <c r="L8" i="4"/>
  <c r="L72" i="8" s="1"/>
  <c r="K8" i="4"/>
  <c r="J8" i="4"/>
  <c r="J72" i="8" s="1"/>
  <c r="G8" i="4"/>
  <c r="G72" i="8" s="1"/>
  <c r="F8" i="4"/>
  <c r="F72" i="8" s="1"/>
  <c r="D8" i="4"/>
  <c r="Y17" i="3"/>
  <c r="U17" i="3"/>
  <c r="U69" i="8" s="1"/>
  <c r="L17" i="3"/>
  <c r="L69" i="8" s="1"/>
  <c r="K17" i="3"/>
  <c r="J17" i="3"/>
  <c r="J69" i="8" s="1"/>
  <c r="G17" i="3"/>
  <c r="D17" i="3"/>
  <c r="Y16" i="3"/>
  <c r="U16" i="3"/>
  <c r="U68" i="8" s="1"/>
  <c r="O16" i="3"/>
  <c r="O68" i="8" s="1"/>
  <c r="L16" i="3"/>
  <c r="L68" i="8" s="1"/>
  <c r="J16" i="3"/>
  <c r="J68" i="8" s="1"/>
  <c r="G16" i="3"/>
  <c r="K16" i="3" s="1"/>
  <c r="AC16" i="3" s="1"/>
  <c r="D16" i="3"/>
  <c r="Y15" i="3"/>
  <c r="V15" i="3"/>
  <c r="V67" i="8" s="1"/>
  <c r="U15" i="3"/>
  <c r="U67" i="8" s="1"/>
  <c r="Q15" i="3"/>
  <c r="O15" i="3"/>
  <c r="O67" i="8" s="1"/>
  <c r="L15" i="3"/>
  <c r="L67" i="8" s="1"/>
  <c r="K15" i="3"/>
  <c r="J15" i="3"/>
  <c r="J67" i="8" s="1"/>
  <c r="G15" i="3"/>
  <c r="G67" i="8" s="1"/>
  <c r="D15" i="3"/>
  <c r="Y14" i="3"/>
  <c r="C7" i="10" s="1"/>
  <c r="U14" i="3"/>
  <c r="L14" i="3"/>
  <c r="K14" i="3"/>
  <c r="AA14" i="3" s="1"/>
  <c r="J14" i="3"/>
  <c r="J66" i="8" s="1"/>
  <c r="G14" i="3"/>
  <c r="G66" i="8" s="1"/>
  <c r="D14" i="3"/>
  <c r="Y13" i="3"/>
  <c r="C8" i="10" s="1"/>
  <c r="V13" i="3"/>
  <c r="V65" i="8" s="1"/>
  <c r="U13" i="3"/>
  <c r="U65" i="8" s="1"/>
  <c r="L13" i="3"/>
  <c r="L65" i="8" s="1"/>
  <c r="J13" i="3"/>
  <c r="J65" i="8" s="1"/>
  <c r="G13" i="3"/>
  <c r="D13" i="3"/>
  <c r="Y12" i="3"/>
  <c r="V12" i="3"/>
  <c r="V64" i="8" s="1"/>
  <c r="U12" i="3"/>
  <c r="U64" i="8" s="1"/>
  <c r="L12" i="3"/>
  <c r="L64" i="8" s="1"/>
  <c r="J12" i="3"/>
  <c r="J64" i="8" s="1"/>
  <c r="G12" i="3"/>
  <c r="D12" i="3"/>
  <c r="Y11" i="3"/>
  <c r="V11" i="3"/>
  <c r="V63" i="8" s="1"/>
  <c r="U11" i="3"/>
  <c r="U63" i="8" s="1"/>
  <c r="O11" i="3"/>
  <c r="O63" i="8" s="1"/>
  <c r="L11" i="3"/>
  <c r="L63" i="8" s="1"/>
  <c r="J11" i="3"/>
  <c r="J63" i="8" s="1"/>
  <c r="G11" i="3"/>
  <c r="G63" i="8" s="1"/>
  <c r="D11" i="3"/>
  <c r="Y10" i="3"/>
  <c r="U10" i="3"/>
  <c r="L10" i="3"/>
  <c r="J10" i="3"/>
  <c r="J62" i="8" s="1"/>
  <c r="G10" i="3"/>
  <c r="G62" i="8" s="1"/>
  <c r="D10" i="3"/>
  <c r="Y9" i="3"/>
  <c r="U9" i="3"/>
  <c r="U61" i="8" s="1"/>
  <c r="O9" i="3"/>
  <c r="O61" i="8" s="1"/>
  <c r="L9" i="3"/>
  <c r="L61" i="8" s="1"/>
  <c r="J9" i="3"/>
  <c r="J61" i="8" s="1"/>
  <c r="G9" i="3"/>
  <c r="D9" i="3"/>
  <c r="Y8" i="3"/>
  <c r="U8" i="3"/>
  <c r="U60" i="8" s="1"/>
  <c r="L8" i="3"/>
  <c r="L60" i="8" s="1"/>
  <c r="J8" i="3"/>
  <c r="J60" i="8" s="1"/>
  <c r="G8" i="3"/>
  <c r="D8" i="3"/>
  <c r="Y17" i="2"/>
  <c r="S17" i="2"/>
  <c r="L17" i="2"/>
  <c r="J17" i="2"/>
  <c r="J57" i="8" s="1"/>
  <c r="G17" i="2"/>
  <c r="G57" i="8" s="1"/>
  <c r="D17" i="2"/>
  <c r="Y16" i="2"/>
  <c r="Y56" i="8" s="1"/>
  <c r="U16" i="2"/>
  <c r="S16" i="2"/>
  <c r="S56" i="8" s="1"/>
  <c r="L16" i="2"/>
  <c r="J16" i="2"/>
  <c r="J56" i="8" s="1"/>
  <c r="G16" i="2"/>
  <c r="D16" i="2"/>
  <c r="D56" i="8" s="1"/>
  <c r="Y15" i="2"/>
  <c r="S15" i="2"/>
  <c r="L15" i="2"/>
  <c r="K15" i="2"/>
  <c r="J15" i="2"/>
  <c r="J55" i="8" s="1"/>
  <c r="G15" i="2"/>
  <c r="G55" i="8" s="1"/>
  <c r="D15" i="2"/>
  <c r="Y14" i="2"/>
  <c r="Y54" i="8" s="1"/>
  <c r="S14" i="2"/>
  <c r="S54" i="8" s="1"/>
  <c r="O14" i="2"/>
  <c r="L14" i="2"/>
  <c r="J14" i="2"/>
  <c r="J54" i="8" s="1"/>
  <c r="G14" i="2"/>
  <c r="D14" i="2"/>
  <c r="Y13" i="2"/>
  <c r="S13" i="2"/>
  <c r="L13" i="2"/>
  <c r="J13" i="2"/>
  <c r="G13" i="2"/>
  <c r="G53" i="8" s="1"/>
  <c r="D13" i="2"/>
  <c r="Y12" i="2"/>
  <c r="C9" i="9" s="1"/>
  <c r="U12" i="2"/>
  <c r="V12" i="2" s="1"/>
  <c r="V52" i="8" s="1"/>
  <c r="S12" i="2"/>
  <c r="S52" i="8" s="1"/>
  <c r="L12" i="2"/>
  <c r="J12" i="2"/>
  <c r="J52" i="8" s="1"/>
  <c r="G12" i="2"/>
  <c r="D12" i="2"/>
  <c r="Y11" i="2"/>
  <c r="C10" i="9" s="1"/>
  <c r="S11" i="2"/>
  <c r="L11" i="2"/>
  <c r="K11" i="2"/>
  <c r="J11" i="2"/>
  <c r="J51" i="8" s="1"/>
  <c r="G11" i="2"/>
  <c r="D11" i="2"/>
  <c r="Y10" i="2"/>
  <c r="S10" i="2"/>
  <c r="O10" i="2"/>
  <c r="O50" i="8" s="1"/>
  <c r="L10" i="2"/>
  <c r="J10" i="2"/>
  <c r="J50" i="8" s="1"/>
  <c r="G10" i="2"/>
  <c r="D10" i="2"/>
  <c r="Y9" i="2"/>
  <c r="C12" i="9" s="1"/>
  <c r="S9" i="2"/>
  <c r="L9" i="2"/>
  <c r="J9" i="2"/>
  <c r="J49" i="8" s="1"/>
  <c r="G9" i="2"/>
  <c r="D9" i="2"/>
  <c r="Y8" i="2"/>
  <c r="C13" i="9" s="1"/>
  <c r="U8" i="2"/>
  <c r="S8" i="2"/>
  <c r="S48" i="8" s="1"/>
  <c r="L8" i="2"/>
  <c r="J8" i="2"/>
  <c r="J48" i="8" s="1"/>
  <c r="G8" i="2"/>
  <c r="D8" i="2"/>
  <c r="AB13" i="12"/>
  <c r="AA13" i="12"/>
  <c r="Z13" i="12"/>
  <c r="Y13" i="12"/>
  <c r="X13" i="12"/>
  <c r="W13" i="12"/>
  <c r="V13" i="12"/>
  <c r="U13" i="12"/>
  <c r="T13" i="12"/>
  <c r="S13" i="12"/>
  <c r="P13" i="12"/>
  <c r="I13" i="12"/>
  <c r="H13" i="12"/>
  <c r="G13" i="12"/>
  <c r="C13" i="12"/>
  <c r="AB12" i="12"/>
  <c r="AA12" i="12"/>
  <c r="Z12" i="12"/>
  <c r="Y12" i="12"/>
  <c r="X12" i="12"/>
  <c r="W12" i="12"/>
  <c r="V12" i="12"/>
  <c r="U12" i="12"/>
  <c r="T12" i="12"/>
  <c r="S12" i="12"/>
  <c r="P12" i="12"/>
  <c r="I12" i="12"/>
  <c r="H12" i="12"/>
  <c r="G12" i="12"/>
  <c r="C12" i="12"/>
  <c r="AB11" i="12"/>
  <c r="AA11" i="12"/>
  <c r="Z11" i="12"/>
  <c r="Y11" i="12"/>
  <c r="X11" i="12"/>
  <c r="W11" i="12"/>
  <c r="V11" i="12"/>
  <c r="U11" i="12"/>
  <c r="T11" i="12"/>
  <c r="S11" i="12"/>
  <c r="P11" i="12"/>
  <c r="I11" i="12"/>
  <c r="H11" i="12"/>
  <c r="G11" i="12"/>
  <c r="AB10" i="12"/>
  <c r="AA10" i="12"/>
  <c r="Z10" i="12"/>
  <c r="Y10" i="12"/>
  <c r="X10" i="12"/>
  <c r="W10" i="12"/>
  <c r="U10" i="12"/>
  <c r="T10" i="12"/>
  <c r="S10" i="12"/>
  <c r="P10" i="12"/>
  <c r="I10" i="12"/>
  <c r="H10" i="12"/>
  <c r="G10" i="12"/>
  <c r="C10" i="12"/>
  <c r="AB9" i="12"/>
  <c r="AA9" i="12"/>
  <c r="Z9" i="12"/>
  <c r="Y9" i="12"/>
  <c r="X9" i="12"/>
  <c r="W9" i="12"/>
  <c r="V9" i="12"/>
  <c r="T9" i="12"/>
  <c r="S9" i="12"/>
  <c r="P9" i="12"/>
  <c r="I9" i="12"/>
  <c r="H9" i="12"/>
  <c r="G9" i="12"/>
  <c r="C9" i="12"/>
  <c r="AB8" i="12"/>
  <c r="AA8" i="12"/>
  <c r="Z8" i="12"/>
  <c r="Y8" i="12"/>
  <c r="X8" i="12"/>
  <c r="W8" i="12"/>
  <c r="U8" i="12"/>
  <c r="T8" i="12"/>
  <c r="S8" i="12"/>
  <c r="P8" i="12"/>
  <c r="I8" i="12"/>
  <c r="H8" i="12"/>
  <c r="G8" i="12"/>
  <c r="C8" i="12"/>
  <c r="AC7" i="12"/>
  <c r="AC8" i="12" s="1"/>
  <c r="AC9" i="12" s="1"/>
  <c r="AC10" i="12" s="1"/>
  <c r="AC11" i="12" s="1"/>
  <c r="AC12" i="12" s="1"/>
  <c r="AC13" i="12" s="1"/>
  <c r="AB7" i="12"/>
  <c r="AA7" i="12"/>
  <c r="Z7" i="12"/>
  <c r="Y7" i="12"/>
  <c r="X7" i="12"/>
  <c r="W7" i="12"/>
  <c r="V7" i="12"/>
  <c r="U7" i="12"/>
  <c r="T7" i="12"/>
  <c r="S7" i="12"/>
  <c r="P7" i="12"/>
  <c r="I7" i="12"/>
  <c r="H7" i="12"/>
  <c r="G7" i="12"/>
  <c r="C7" i="12"/>
  <c r="AB6" i="12"/>
  <c r="AA6" i="12"/>
  <c r="Z6" i="12"/>
  <c r="Y6" i="12"/>
  <c r="X6" i="12"/>
  <c r="W6" i="12"/>
  <c r="U6" i="12"/>
  <c r="T6" i="12"/>
  <c r="S6" i="12"/>
  <c r="P6" i="12"/>
  <c r="I6" i="12"/>
  <c r="H6" i="12"/>
  <c r="G6" i="12"/>
  <c r="C6" i="12"/>
  <c r="AB5" i="12"/>
  <c r="AA5" i="12"/>
  <c r="Z5" i="12"/>
  <c r="Y5" i="12"/>
  <c r="AC5" i="12" s="1"/>
  <c r="AC6" i="12" s="1"/>
  <c r="X5" i="12"/>
  <c r="W5" i="12"/>
  <c r="V5" i="12"/>
  <c r="U5" i="12"/>
  <c r="T5" i="12"/>
  <c r="S5" i="12"/>
  <c r="P5" i="12"/>
  <c r="I5" i="12"/>
  <c r="H5" i="12"/>
  <c r="G5" i="12"/>
  <c r="C5" i="12"/>
  <c r="AF4" i="12"/>
  <c r="AE4" i="12"/>
  <c r="AB4" i="12"/>
  <c r="AA4" i="12"/>
  <c r="Z4" i="12"/>
  <c r="Y4" i="12"/>
  <c r="X4" i="12"/>
  <c r="W4" i="12"/>
  <c r="V4" i="12"/>
  <c r="U4" i="12"/>
  <c r="T4" i="12"/>
  <c r="S4" i="12"/>
  <c r="P4" i="12"/>
  <c r="I4" i="12"/>
  <c r="H4" i="12"/>
  <c r="G4" i="12"/>
  <c r="C4" i="12"/>
  <c r="G52" i="8" l="1"/>
  <c r="K12" i="2"/>
  <c r="O54" i="8"/>
  <c r="P14" i="2"/>
  <c r="P54" i="8" s="1"/>
  <c r="AG54" i="8"/>
  <c r="J53" i="8"/>
  <c r="K13" i="2"/>
  <c r="AF56" i="8"/>
  <c r="P15" i="4"/>
  <c r="P79" i="8" s="1"/>
  <c r="U56" i="8"/>
  <c r="V16" i="2"/>
  <c r="V56" i="8" s="1"/>
  <c r="G64" i="8"/>
  <c r="K12" i="3"/>
  <c r="E7" i="10"/>
  <c r="AA66" i="8"/>
  <c r="L48" i="8"/>
  <c r="O8" i="2"/>
  <c r="L49" i="8"/>
  <c r="O9" i="2"/>
  <c r="S50" i="8"/>
  <c r="U10" i="2"/>
  <c r="S51" i="8"/>
  <c r="U11" i="2"/>
  <c r="D57" i="8"/>
  <c r="N4" i="9"/>
  <c r="AF5" i="9" s="1"/>
  <c r="AG55" i="8"/>
  <c r="K5" i="10"/>
  <c r="AC68" i="8"/>
  <c r="K4" i="11"/>
  <c r="AC81" i="8"/>
  <c r="U9" i="11"/>
  <c r="U9" i="9"/>
  <c r="U9" i="10"/>
  <c r="V4" i="10"/>
  <c r="V4" i="11"/>
  <c r="V4" i="9"/>
  <c r="V6" i="9"/>
  <c r="V6" i="11"/>
  <c r="V6" i="10"/>
  <c r="V8" i="10"/>
  <c r="V8" i="11"/>
  <c r="V8" i="9"/>
  <c r="V10" i="9"/>
  <c r="V10" i="11"/>
  <c r="V10" i="10"/>
  <c r="V12" i="10"/>
  <c r="V12" i="9"/>
  <c r="V12" i="11"/>
  <c r="E4" i="11"/>
  <c r="AA81" i="8"/>
  <c r="M6" i="10"/>
  <c r="Q6" i="10" s="1"/>
  <c r="Q67" i="8"/>
  <c r="C40" i="8"/>
  <c r="N5" i="10"/>
  <c r="D68" i="8"/>
  <c r="C5" i="10"/>
  <c r="Y68" i="8"/>
  <c r="K69" i="8"/>
  <c r="O4" i="10"/>
  <c r="AC17" i="3"/>
  <c r="AA17" i="3"/>
  <c r="O13" i="11"/>
  <c r="K72" i="8"/>
  <c r="AA8" i="4"/>
  <c r="O12" i="11"/>
  <c r="K73" i="8"/>
  <c r="AC9" i="4"/>
  <c r="O11" i="11"/>
  <c r="R11" i="11" s="1"/>
  <c r="K74" i="8"/>
  <c r="AA10" i="4"/>
  <c r="AC11" i="4"/>
  <c r="O9" i="11"/>
  <c r="K76" i="8"/>
  <c r="O13" i="3"/>
  <c r="O65" i="8" s="1"/>
  <c r="AA16" i="3"/>
  <c r="L77" i="8"/>
  <c r="O13" i="4"/>
  <c r="O77" i="8" s="1"/>
  <c r="O15" i="4"/>
  <c r="O79" i="8" s="1"/>
  <c r="I15" i="7"/>
  <c r="AG15" i="4" s="1"/>
  <c r="AG79" i="8" s="1"/>
  <c r="H10" i="7"/>
  <c r="AF10" i="4" s="1"/>
  <c r="AF74" i="8" s="1"/>
  <c r="H15" i="7"/>
  <c r="AF15" i="4" s="1"/>
  <c r="AF79" i="8" s="1"/>
  <c r="I12" i="7"/>
  <c r="AG12" i="4" s="1"/>
  <c r="AG76" i="8" s="1"/>
  <c r="I17" i="7"/>
  <c r="AG17" i="4" s="1"/>
  <c r="AG81" i="8" s="1"/>
  <c r="H17" i="7"/>
  <c r="AF17" i="4" s="1"/>
  <c r="AF81" i="8" s="1"/>
  <c r="I14" i="7"/>
  <c r="AG14" i="4" s="1"/>
  <c r="AG78" i="8" s="1"/>
  <c r="H9" i="7"/>
  <c r="AF9" i="4" s="1"/>
  <c r="AF73" i="8" s="1"/>
  <c r="H14" i="7"/>
  <c r="AF14" i="4" s="1"/>
  <c r="AF78" i="8" s="1"/>
  <c r="I11" i="7"/>
  <c r="AG11" i="4" s="1"/>
  <c r="AG75" i="8" s="1"/>
  <c r="H16" i="7"/>
  <c r="AF16" i="4" s="1"/>
  <c r="AF80" i="8" s="1"/>
  <c r="I13" i="7"/>
  <c r="AG13" i="4" s="1"/>
  <c r="AG77" i="8" s="1"/>
  <c r="H8" i="7"/>
  <c r="AF8" i="4" s="1"/>
  <c r="AF72" i="8" s="1"/>
  <c r="AF9" i="9"/>
  <c r="N11" i="9"/>
  <c r="D50" i="8"/>
  <c r="C10" i="10"/>
  <c r="Y63" i="8"/>
  <c r="U66" i="8"/>
  <c r="V14" i="3"/>
  <c r="V66" i="8" s="1"/>
  <c r="O17" i="3"/>
  <c r="O69" i="8" s="1"/>
  <c r="O9" i="4"/>
  <c r="O73" i="8" s="1"/>
  <c r="O11" i="4"/>
  <c r="O75" i="8" s="1"/>
  <c r="AC12" i="4"/>
  <c r="I14" i="5"/>
  <c r="AG11" i="2" s="1"/>
  <c r="H11" i="6"/>
  <c r="AF14" i="3" s="1"/>
  <c r="AF66" i="8" s="1"/>
  <c r="I16" i="6"/>
  <c r="AG9" i="3" s="1"/>
  <c r="AG61" i="8" s="1"/>
  <c r="I8" i="7"/>
  <c r="AG8" i="4" s="1"/>
  <c r="AG72" i="8" s="1"/>
  <c r="H12" i="7"/>
  <c r="AF12" i="4" s="1"/>
  <c r="AF76" i="8" s="1"/>
  <c r="G74" i="8"/>
  <c r="N11" i="11"/>
  <c r="O14" i="4"/>
  <c r="O78" i="8" s="1"/>
  <c r="U9" i="12"/>
  <c r="O13" i="2"/>
  <c r="S55" i="8"/>
  <c r="U15" i="2"/>
  <c r="K16" i="2"/>
  <c r="G56" i="8"/>
  <c r="O8" i="3"/>
  <c r="D62" i="8"/>
  <c r="N11" i="10"/>
  <c r="AF12" i="10" s="1"/>
  <c r="C11" i="10"/>
  <c r="Y62" i="8"/>
  <c r="H10" i="5"/>
  <c r="AF15" i="2" s="1"/>
  <c r="V6" i="12"/>
  <c r="U9" i="2"/>
  <c r="S49" i="8"/>
  <c r="G50" i="8"/>
  <c r="K10" i="2"/>
  <c r="AA10" i="2" s="1"/>
  <c r="O12" i="2"/>
  <c r="O52" i="8" s="1"/>
  <c r="U14" i="2"/>
  <c r="N6" i="9"/>
  <c r="AA15" i="2"/>
  <c r="D55" i="8"/>
  <c r="K17" i="2"/>
  <c r="N12" i="10"/>
  <c r="D61" i="8"/>
  <c r="V9" i="3"/>
  <c r="V61" i="8" s="1"/>
  <c r="K11" i="3"/>
  <c r="O12" i="3"/>
  <c r="O64" i="8" s="1"/>
  <c r="D66" i="8"/>
  <c r="N7" i="10"/>
  <c r="C6" i="10"/>
  <c r="Y67" i="8"/>
  <c r="Q17" i="3"/>
  <c r="P8" i="4"/>
  <c r="P72" i="8" s="1"/>
  <c r="Q9" i="4"/>
  <c r="Q11" i="4"/>
  <c r="P12" i="4"/>
  <c r="P76" i="8" s="1"/>
  <c r="D78" i="8"/>
  <c r="N7" i="11"/>
  <c r="N5" i="11"/>
  <c r="D80" i="8"/>
  <c r="AA16" i="4"/>
  <c r="P16" i="4"/>
  <c r="P80" i="8" s="1"/>
  <c r="O17" i="4"/>
  <c r="Q17" i="4" s="1"/>
  <c r="H16" i="6"/>
  <c r="AF9" i="3" s="1"/>
  <c r="AF61" i="8" s="1"/>
  <c r="N8" i="10"/>
  <c r="D65" i="8"/>
  <c r="Z15" i="3"/>
  <c r="D81" i="8"/>
  <c r="N4" i="11"/>
  <c r="AF5" i="11" s="1"/>
  <c r="I15" i="5"/>
  <c r="AG10" i="2" s="1"/>
  <c r="I8" i="6"/>
  <c r="AG17" i="3" s="1"/>
  <c r="AG69" i="8" s="1"/>
  <c r="H17" i="6"/>
  <c r="AF8" i="3" s="1"/>
  <c r="AF60" i="8" s="1"/>
  <c r="I9" i="7"/>
  <c r="AG9" i="4" s="1"/>
  <c r="AG73" i="8" s="1"/>
  <c r="H13" i="7"/>
  <c r="AF13" i="4" s="1"/>
  <c r="AF77" i="8" s="1"/>
  <c r="K75" i="8"/>
  <c r="O5" i="10"/>
  <c r="R5" i="10" s="1"/>
  <c r="K68" i="8"/>
  <c r="Q16" i="3"/>
  <c r="U48" i="8"/>
  <c r="D49" i="8"/>
  <c r="N12" i="9"/>
  <c r="O10" i="9"/>
  <c r="R10" i="9" s="1"/>
  <c r="K51" i="8"/>
  <c r="N7" i="9"/>
  <c r="AF8" i="9" s="1"/>
  <c r="D54" i="8"/>
  <c r="C6" i="9"/>
  <c r="Y55" i="8"/>
  <c r="L56" i="8"/>
  <c r="AA16" i="2"/>
  <c r="L57" i="8"/>
  <c r="O17" i="2"/>
  <c r="G61" i="8"/>
  <c r="P9" i="3"/>
  <c r="P61" i="8" s="1"/>
  <c r="K67" i="8"/>
  <c r="O6" i="10"/>
  <c r="AA15" i="3"/>
  <c r="N13" i="11"/>
  <c r="D72" i="8"/>
  <c r="Q8" i="4"/>
  <c r="N12" i="11"/>
  <c r="D73" i="8"/>
  <c r="Q10" i="4"/>
  <c r="N10" i="11"/>
  <c r="AF11" i="11" s="1"/>
  <c r="D75" i="8"/>
  <c r="N9" i="11"/>
  <c r="AF10" i="11" s="1"/>
  <c r="D76" i="8"/>
  <c r="AA12" i="4"/>
  <c r="Q12" i="4"/>
  <c r="U77" i="8"/>
  <c r="V13" i="4"/>
  <c r="V77" i="8" s="1"/>
  <c r="V10" i="12"/>
  <c r="N13" i="9"/>
  <c r="D48" i="8"/>
  <c r="V8" i="2"/>
  <c r="V48" i="8" s="1"/>
  <c r="L50" i="8"/>
  <c r="O11" i="2"/>
  <c r="L51" i="8"/>
  <c r="AC11" i="2"/>
  <c r="U13" i="2"/>
  <c r="S53" i="8"/>
  <c r="G54" i="8"/>
  <c r="K14" i="2"/>
  <c r="O16" i="2"/>
  <c r="O56" i="8" s="1"/>
  <c r="V8" i="3"/>
  <c r="V60" i="8" s="1"/>
  <c r="K10" i="3"/>
  <c r="G65" i="8"/>
  <c r="AB15" i="3"/>
  <c r="P16" i="3"/>
  <c r="P68" i="8" s="1"/>
  <c r="N4" i="10"/>
  <c r="AF5" i="10" s="1"/>
  <c r="D69" i="8"/>
  <c r="V17" i="3"/>
  <c r="V69" i="8" s="1"/>
  <c r="Y73" i="8"/>
  <c r="C12" i="11"/>
  <c r="C10" i="11"/>
  <c r="Y75" i="8"/>
  <c r="D77" i="8"/>
  <c r="N8" i="11"/>
  <c r="C8" i="11"/>
  <c r="Y77" i="8"/>
  <c r="G14" i="4"/>
  <c r="Y79" i="8"/>
  <c r="C6" i="11"/>
  <c r="V16" i="4"/>
  <c r="V80" i="8" s="1"/>
  <c r="H16" i="5"/>
  <c r="AF9" i="2" s="1"/>
  <c r="I13" i="5"/>
  <c r="AG12" i="2" s="1"/>
  <c r="H8" i="5"/>
  <c r="AF17" i="2" s="1"/>
  <c r="H13" i="5"/>
  <c r="AF12" i="2" s="1"/>
  <c r="H15" i="5"/>
  <c r="AF10" i="2" s="1"/>
  <c r="I12" i="5"/>
  <c r="AG13" i="2" s="1"/>
  <c r="I17" i="5"/>
  <c r="AG8" i="2" s="1"/>
  <c r="H12" i="5"/>
  <c r="AF13" i="2" s="1"/>
  <c r="I9" i="5"/>
  <c r="AG16" i="2" s="1"/>
  <c r="H14" i="5"/>
  <c r="AF11" i="2" s="1"/>
  <c r="H11" i="5"/>
  <c r="AF14" i="2" s="1"/>
  <c r="I11" i="6"/>
  <c r="AG14" i="3" s="1"/>
  <c r="AG66" i="8" s="1"/>
  <c r="Y51" i="8"/>
  <c r="U52" i="8"/>
  <c r="K81" i="8"/>
  <c r="O4" i="11"/>
  <c r="N10" i="9"/>
  <c r="AF11" i="9" s="1"/>
  <c r="D51" i="8"/>
  <c r="AA11" i="2"/>
  <c r="V10" i="3"/>
  <c r="V62" i="8" s="1"/>
  <c r="U62" i="8"/>
  <c r="D53" i="8"/>
  <c r="AA13" i="2"/>
  <c r="Y60" i="8"/>
  <c r="C13" i="10"/>
  <c r="L62" i="8"/>
  <c r="O10" i="3"/>
  <c r="P11" i="3"/>
  <c r="P63" i="8" s="1"/>
  <c r="I8" i="5"/>
  <c r="AG17" i="2" s="1"/>
  <c r="I16" i="5"/>
  <c r="AG9" i="2" s="1"/>
  <c r="I10" i="7"/>
  <c r="AG10" i="4" s="1"/>
  <c r="AG74" i="8" s="1"/>
  <c r="Y66" i="8"/>
  <c r="H17" i="5"/>
  <c r="AF8" i="2" s="1"/>
  <c r="C4" i="9"/>
  <c r="Y57" i="8"/>
  <c r="AC8" i="4"/>
  <c r="AC10" i="4"/>
  <c r="G48" i="8"/>
  <c r="K8" i="2"/>
  <c r="K55" i="8"/>
  <c r="O6" i="9"/>
  <c r="R6" i="9" s="1"/>
  <c r="N13" i="10"/>
  <c r="D60" i="8"/>
  <c r="K9" i="3"/>
  <c r="O7" i="10"/>
  <c r="R7" i="10" s="1"/>
  <c r="K66" i="8"/>
  <c r="AC14" i="3"/>
  <c r="AC15" i="3"/>
  <c r="G69" i="8"/>
  <c r="C13" i="11"/>
  <c r="Y72" i="8"/>
  <c r="G73" i="8"/>
  <c r="AA9" i="4"/>
  <c r="C11" i="11"/>
  <c r="Y74" i="8"/>
  <c r="G75" i="8"/>
  <c r="P11" i="4"/>
  <c r="P75" i="8" s="1"/>
  <c r="AA11" i="4"/>
  <c r="F77" i="8"/>
  <c r="G13" i="4"/>
  <c r="G79" i="8"/>
  <c r="K15" i="4"/>
  <c r="C5" i="11"/>
  <c r="Y80" i="8"/>
  <c r="V8" i="12"/>
  <c r="K9" i="2"/>
  <c r="AA9" i="2" s="1"/>
  <c r="P10" i="2"/>
  <c r="P50" i="8" s="1"/>
  <c r="N9" i="9"/>
  <c r="AF10" i="9" s="1"/>
  <c r="D52" i="8"/>
  <c r="Y53" i="8"/>
  <c r="C8" i="9"/>
  <c r="L54" i="8"/>
  <c r="O15" i="2"/>
  <c r="AC15" i="2"/>
  <c r="S57" i="8"/>
  <c r="U17" i="2"/>
  <c r="G60" i="8"/>
  <c r="K8" i="3"/>
  <c r="AA8" i="3" s="1"/>
  <c r="N9" i="10"/>
  <c r="AF10" i="10" s="1"/>
  <c r="D64" i="8"/>
  <c r="C9" i="10"/>
  <c r="Y64" i="8"/>
  <c r="K13" i="3"/>
  <c r="AA13" i="3"/>
  <c r="L66" i="8"/>
  <c r="O14" i="3"/>
  <c r="P15" i="3"/>
  <c r="P67" i="8" s="1"/>
  <c r="V16" i="3"/>
  <c r="V68" i="8" s="1"/>
  <c r="C9" i="11"/>
  <c r="Y76" i="8"/>
  <c r="K16" i="4"/>
  <c r="C4" i="11"/>
  <c r="Y81" i="8"/>
  <c r="H14" i="6"/>
  <c r="AF11" i="3" s="1"/>
  <c r="AF63" i="8" s="1"/>
  <c r="C5" i="9"/>
  <c r="U4" i="10"/>
  <c r="U4" i="11"/>
  <c r="U4" i="9"/>
  <c r="U12" i="10"/>
  <c r="U12" i="11"/>
  <c r="U12" i="9"/>
  <c r="W4" i="9"/>
  <c r="W4" i="10"/>
  <c r="W4" i="11"/>
  <c r="W6" i="11"/>
  <c r="W6" i="10"/>
  <c r="W6" i="9"/>
  <c r="W8" i="10"/>
  <c r="W8" i="11"/>
  <c r="W8" i="9"/>
  <c r="W10" i="11"/>
  <c r="W10" i="9"/>
  <c r="W10" i="10"/>
  <c r="W12" i="10"/>
  <c r="W12" i="9"/>
  <c r="W12" i="11"/>
  <c r="C11" i="9"/>
  <c r="Y50" i="8"/>
  <c r="Y61" i="8"/>
  <c r="C12" i="10"/>
  <c r="N10" i="10"/>
  <c r="D63" i="8"/>
  <c r="C4" i="10"/>
  <c r="Y69" i="8"/>
  <c r="C7" i="11"/>
  <c r="Y78" i="8"/>
  <c r="N6" i="11"/>
  <c r="AF7" i="11" s="1"/>
  <c r="D79" i="8"/>
  <c r="I9" i="6"/>
  <c r="AG16" i="3" s="1"/>
  <c r="AG68" i="8" s="1"/>
  <c r="H12" i="6"/>
  <c r="AF13" i="3" s="1"/>
  <c r="AF65" i="8" s="1"/>
  <c r="I17" i="6"/>
  <c r="AG8" i="3" s="1"/>
  <c r="AG60" i="8" s="1"/>
  <c r="Y52" i="8"/>
  <c r="Y65" i="8"/>
  <c r="I12" i="6"/>
  <c r="AG13" i="3" s="1"/>
  <c r="AG65" i="8" s="1"/>
  <c r="H15" i="6"/>
  <c r="AF10" i="3" s="1"/>
  <c r="AF62" i="8" s="1"/>
  <c r="AC9" i="9"/>
  <c r="AC10" i="9" s="1"/>
  <c r="AC11" i="9" s="1"/>
  <c r="AC12" i="9" s="1"/>
  <c r="AC13" i="9" s="1"/>
  <c r="I10" i="6"/>
  <c r="AG15" i="3" s="1"/>
  <c r="AG67" i="8" s="1"/>
  <c r="H13" i="6"/>
  <c r="AF12" i="3" s="1"/>
  <c r="AF64" i="8" s="1"/>
  <c r="Y48" i="8"/>
  <c r="AA11" i="3"/>
  <c r="N6" i="10"/>
  <c r="AF7" i="10" s="1"/>
  <c r="D67" i="8"/>
  <c r="H8" i="6"/>
  <c r="AF17" i="3" s="1"/>
  <c r="AF69" i="8" s="1"/>
  <c r="I13" i="6"/>
  <c r="AG12" i="3" s="1"/>
  <c r="AG64" i="8" s="1"/>
  <c r="AC7" i="10"/>
  <c r="AC8" i="10" s="1"/>
  <c r="AC9" i="10" s="1"/>
  <c r="AC10" i="10" s="1"/>
  <c r="AC11" i="10" s="1"/>
  <c r="AC12" i="10" s="1"/>
  <c r="AC13" i="10" s="1"/>
  <c r="U10" i="9"/>
  <c r="U10" i="11"/>
  <c r="S4" i="11"/>
  <c r="S4" i="10"/>
  <c r="AE10" i="11"/>
  <c r="E13" i="10" l="1"/>
  <c r="AA60" i="8"/>
  <c r="E12" i="9"/>
  <c r="AA49" i="8"/>
  <c r="AA50" i="8"/>
  <c r="E11" i="9"/>
  <c r="Q81" i="8"/>
  <c r="M4" i="11"/>
  <c r="Q4" i="11" s="1"/>
  <c r="Z17" i="4"/>
  <c r="D42" i="8"/>
  <c r="AB17" i="4"/>
  <c r="AF48" i="8"/>
  <c r="O51" i="8"/>
  <c r="P11" i="2"/>
  <c r="P51" i="8" s="1"/>
  <c r="AA67" i="8"/>
  <c r="E6" i="10"/>
  <c r="AA56" i="8"/>
  <c r="E5" i="9"/>
  <c r="E5" i="11"/>
  <c r="AA80" i="8"/>
  <c r="O53" i="8"/>
  <c r="P13" i="2"/>
  <c r="P53" i="8" s="1"/>
  <c r="AA68" i="8"/>
  <c r="E5" i="10"/>
  <c r="K4" i="10"/>
  <c r="AC69" i="8"/>
  <c r="U51" i="8"/>
  <c r="V11" i="2"/>
  <c r="V51" i="8" s="1"/>
  <c r="K6" i="10"/>
  <c r="AC67" i="8"/>
  <c r="O62" i="8"/>
  <c r="P10" i="3"/>
  <c r="P62" i="8" s="1"/>
  <c r="E10" i="9"/>
  <c r="AA51" i="8"/>
  <c r="O10" i="10"/>
  <c r="R10" i="10" s="1"/>
  <c r="K63" i="8"/>
  <c r="Q11" i="3"/>
  <c r="AC11" i="3"/>
  <c r="U54" i="8"/>
  <c r="V14" i="2"/>
  <c r="V54" i="8" s="1"/>
  <c r="E4" i="10"/>
  <c r="AA69" i="8"/>
  <c r="AF51" i="8"/>
  <c r="O7" i="9"/>
  <c r="R7" i="9" s="1"/>
  <c r="AC14" i="2"/>
  <c r="Q14" i="2"/>
  <c r="K54" i="8"/>
  <c r="K12" i="11"/>
  <c r="AC73" i="8"/>
  <c r="R4" i="10"/>
  <c r="Q14" i="3"/>
  <c r="P14" i="3"/>
  <c r="P66" i="8" s="1"/>
  <c r="O66" i="8"/>
  <c r="AA14" i="2"/>
  <c r="AG56" i="8"/>
  <c r="AF49" i="8"/>
  <c r="M11" i="11"/>
  <c r="Q11" i="11" s="1"/>
  <c r="Q74" i="8"/>
  <c r="D35" i="8"/>
  <c r="AB10" i="4"/>
  <c r="Z10" i="4"/>
  <c r="B6" i="10"/>
  <c r="D6" i="10" s="1"/>
  <c r="Z67" i="8"/>
  <c r="AF6" i="11"/>
  <c r="AF13" i="10"/>
  <c r="V10" i="2"/>
  <c r="V50" i="8" s="1"/>
  <c r="U50" i="8"/>
  <c r="O48" i="8"/>
  <c r="P8" i="2"/>
  <c r="P48" i="8" s="1"/>
  <c r="O55" i="8"/>
  <c r="Q15" i="2"/>
  <c r="P15" i="2"/>
  <c r="P55" i="8" s="1"/>
  <c r="E12" i="11"/>
  <c r="AA73" i="8"/>
  <c r="K7" i="10"/>
  <c r="AC66" i="8"/>
  <c r="AG52" i="8"/>
  <c r="AF9" i="11"/>
  <c r="R6" i="10"/>
  <c r="AF13" i="9"/>
  <c r="M4" i="10"/>
  <c r="Q4" i="10" s="1"/>
  <c r="Q69" i="8"/>
  <c r="C42" i="8"/>
  <c r="Z17" i="3"/>
  <c r="AB17" i="3"/>
  <c r="O11" i="9"/>
  <c r="R11" i="9" s="1"/>
  <c r="K50" i="8"/>
  <c r="AC10" i="2"/>
  <c r="Q10" i="2"/>
  <c r="O5" i="11"/>
  <c r="R5" i="11" s="1"/>
  <c r="K80" i="8"/>
  <c r="Q16" i="4"/>
  <c r="AC16" i="4"/>
  <c r="O13" i="10"/>
  <c r="R13" i="10" s="1"/>
  <c r="K60" i="8"/>
  <c r="Q8" i="3"/>
  <c r="AC8" i="3"/>
  <c r="E8" i="9"/>
  <c r="AA53" i="8"/>
  <c r="R4" i="11"/>
  <c r="AF53" i="8"/>
  <c r="J6" i="10"/>
  <c r="AB67" i="8"/>
  <c r="AF8" i="11"/>
  <c r="O4" i="9"/>
  <c r="R4" i="9" s="1"/>
  <c r="K57" i="8"/>
  <c r="Q17" i="2"/>
  <c r="AC17" i="2"/>
  <c r="O60" i="8"/>
  <c r="P8" i="3"/>
  <c r="P60" i="8" s="1"/>
  <c r="R9" i="11"/>
  <c r="R12" i="11"/>
  <c r="E10" i="10"/>
  <c r="AA63" i="8"/>
  <c r="AC55" i="8"/>
  <c r="K6" i="9"/>
  <c r="K79" i="8"/>
  <c r="O6" i="11"/>
  <c r="R6" i="11" s="1"/>
  <c r="Q15" i="4"/>
  <c r="AA15" i="4"/>
  <c r="AC15" i="4"/>
  <c r="AF57" i="8"/>
  <c r="G77" i="8"/>
  <c r="P13" i="4"/>
  <c r="P77" i="8" s="1"/>
  <c r="K13" i="4"/>
  <c r="O13" i="9"/>
  <c r="R13" i="9" s="1"/>
  <c r="K48" i="8"/>
  <c r="AC8" i="2"/>
  <c r="Q8" i="2"/>
  <c r="AA8" i="2"/>
  <c r="AG49" i="8"/>
  <c r="AG48" i="8"/>
  <c r="P13" i="3"/>
  <c r="P65" i="8" s="1"/>
  <c r="M9" i="11"/>
  <c r="Q9" i="11" s="1"/>
  <c r="Q76" i="8"/>
  <c r="D37" i="8"/>
  <c r="AB12" i="4"/>
  <c r="Z12" i="4"/>
  <c r="AF13" i="11"/>
  <c r="AF9" i="10"/>
  <c r="AF8" i="10"/>
  <c r="U49" i="8"/>
  <c r="V9" i="2"/>
  <c r="V49" i="8" s="1"/>
  <c r="AG51" i="8"/>
  <c r="AC75" i="8"/>
  <c r="K10" i="11"/>
  <c r="E13" i="11"/>
  <c r="AA72" i="8"/>
  <c r="P9" i="2"/>
  <c r="P49" i="8" s="1"/>
  <c r="O49" i="8"/>
  <c r="P12" i="3"/>
  <c r="P64" i="8" s="1"/>
  <c r="P12" i="2"/>
  <c r="P52" i="8" s="1"/>
  <c r="AF52" i="8"/>
  <c r="AF54" i="8"/>
  <c r="Q11" i="2"/>
  <c r="P9" i="4"/>
  <c r="P73" i="8" s="1"/>
  <c r="O12" i="9"/>
  <c r="R12" i="9" s="1"/>
  <c r="K49" i="8"/>
  <c r="Q9" i="2"/>
  <c r="AC9" i="2"/>
  <c r="E10" i="11"/>
  <c r="AA75" i="8"/>
  <c r="O12" i="10"/>
  <c r="R12" i="10" s="1"/>
  <c r="K61" i="8"/>
  <c r="AC9" i="3"/>
  <c r="AA9" i="3"/>
  <c r="Q9" i="3"/>
  <c r="AF11" i="10"/>
  <c r="E8" i="10"/>
  <c r="AA65" i="8"/>
  <c r="K11" i="11"/>
  <c r="AC74" i="8"/>
  <c r="O8" i="10"/>
  <c r="R8" i="10" s="1"/>
  <c r="K65" i="8"/>
  <c r="AC13" i="3"/>
  <c r="Q13" i="3"/>
  <c r="U57" i="8"/>
  <c r="V17" i="2"/>
  <c r="V57" i="8" s="1"/>
  <c r="P17" i="3"/>
  <c r="P69" i="8" s="1"/>
  <c r="K13" i="11"/>
  <c r="AC72" i="8"/>
  <c r="AG57" i="8"/>
  <c r="AG53" i="8"/>
  <c r="U53" i="8"/>
  <c r="V13" i="2"/>
  <c r="V53" i="8" s="1"/>
  <c r="E9" i="11"/>
  <c r="AA76" i="8"/>
  <c r="M13" i="11"/>
  <c r="Q13" i="11" s="1"/>
  <c r="Q72" i="8"/>
  <c r="D33" i="8"/>
  <c r="AB8" i="4"/>
  <c r="Z8" i="4"/>
  <c r="P17" i="2"/>
  <c r="P57" i="8" s="1"/>
  <c r="O57" i="8"/>
  <c r="AA55" i="8"/>
  <c r="E6" i="9"/>
  <c r="K56" i="8"/>
  <c r="AC16" i="2"/>
  <c r="Q16" i="2"/>
  <c r="O5" i="9"/>
  <c r="R5" i="9" s="1"/>
  <c r="K9" i="11"/>
  <c r="AC76" i="8"/>
  <c r="R10" i="11"/>
  <c r="AA17" i="2"/>
  <c r="O9" i="10"/>
  <c r="R9" i="10" s="1"/>
  <c r="K64" i="8"/>
  <c r="Q12" i="3"/>
  <c r="AC12" i="3"/>
  <c r="AA12" i="3"/>
  <c r="K53" i="8"/>
  <c r="O8" i="9"/>
  <c r="R8" i="9" s="1"/>
  <c r="Q13" i="2"/>
  <c r="AC13" i="2"/>
  <c r="AC12" i="2"/>
  <c r="Q12" i="2"/>
  <c r="O9" i="9"/>
  <c r="R9" i="9" s="1"/>
  <c r="K52" i="8"/>
  <c r="AA12" i="2"/>
  <c r="AG50" i="8"/>
  <c r="M12" i="11"/>
  <c r="Q12" i="11" s="1"/>
  <c r="Z9" i="4"/>
  <c r="Q73" i="8"/>
  <c r="D34" i="8"/>
  <c r="AB9" i="4"/>
  <c r="P16" i="2"/>
  <c r="P56" i="8" s="1"/>
  <c r="AF50" i="8"/>
  <c r="P14" i="4"/>
  <c r="P78" i="8" s="1"/>
  <c r="G78" i="8"/>
  <c r="K14" i="4"/>
  <c r="O11" i="10"/>
  <c r="R11" i="10" s="1"/>
  <c r="AC10" i="3"/>
  <c r="AA10" i="3"/>
  <c r="K62" i="8"/>
  <c r="Q10" i="3"/>
  <c r="K10" i="9"/>
  <c r="AC51" i="8"/>
  <c r="M5" i="10"/>
  <c r="Q5" i="10" s="1"/>
  <c r="C41" i="8"/>
  <c r="Q68" i="8"/>
  <c r="Z16" i="3"/>
  <c r="AB16" i="3"/>
  <c r="O81" i="8"/>
  <c r="P17" i="4"/>
  <c r="P81" i="8" s="1"/>
  <c r="M10" i="11"/>
  <c r="Q10" i="11" s="1"/>
  <c r="Q75" i="8"/>
  <c r="D36" i="8"/>
  <c r="Z11" i="4"/>
  <c r="AB11" i="4"/>
  <c r="AF7" i="9"/>
  <c r="AF55" i="8"/>
  <c r="U55" i="8"/>
  <c r="V15" i="2"/>
  <c r="V55" i="8" s="1"/>
  <c r="AF12" i="11"/>
  <c r="AF12" i="9"/>
  <c r="AA74" i="8"/>
  <c r="E11" i="11"/>
  <c r="R13" i="11"/>
  <c r="AF6" i="10"/>
  <c r="AF6" i="9"/>
  <c r="Z75" i="8" l="1"/>
  <c r="B10" i="11"/>
  <c r="D10" i="11" s="1"/>
  <c r="K11" i="10"/>
  <c r="AC62" i="8"/>
  <c r="K10" i="10"/>
  <c r="AC63" i="8"/>
  <c r="M7" i="10"/>
  <c r="Q7" i="10" s="1"/>
  <c r="Q66" i="8"/>
  <c r="C39" i="8"/>
  <c r="AB14" i="3"/>
  <c r="Z14" i="3"/>
  <c r="Q63" i="8"/>
  <c r="M10" i="10"/>
  <c r="Q10" i="10" s="1"/>
  <c r="C36" i="8"/>
  <c r="AB11" i="3"/>
  <c r="Z11" i="3"/>
  <c r="O7" i="11"/>
  <c r="R7" i="11" s="1"/>
  <c r="K78" i="8"/>
  <c r="AC14" i="4"/>
  <c r="Q14" i="4"/>
  <c r="AA14" i="4"/>
  <c r="M9" i="9"/>
  <c r="Q9" i="9" s="1"/>
  <c r="Q52" i="8"/>
  <c r="B37" i="8"/>
  <c r="Z12" i="2"/>
  <c r="AB12" i="2"/>
  <c r="M9" i="10"/>
  <c r="Q9" i="10" s="1"/>
  <c r="Q64" i="8"/>
  <c r="Z12" i="3"/>
  <c r="C37" i="8"/>
  <c r="AB12" i="3"/>
  <c r="B41" i="8"/>
  <c r="M5" i="9"/>
  <c r="Q5" i="9" s="1"/>
  <c r="Q56" i="8"/>
  <c r="AB16" i="2"/>
  <c r="Z16" i="2"/>
  <c r="AB72" i="8"/>
  <c r="J13" i="11"/>
  <c r="M10" i="9"/>
  <c r="Q10" i="9" s="1"/>
  <c r="B36" i="8"/>
  <c r="AB11" i="2"/>
  <c r="Z11" i="2"/>
  <c r="Q51" i="8"/>
  <c r="M13" i="9"/>
  <c r="Q13" i="9" s="1"/>
  <c r="B33" i="8"/>
  <c r="Z8" i="2"/>
  <c r="AB8" i="2"/>
  <c r="Q48" i="8"/>
  <c r="K4" i="9"/>
  <c r="AC57" i="8"/>
  <c r="K5" i="11"/>
  <c r="AC80" i="8"/>
  <c r="J4" i="10"/>
  <c r="AB69" i="8"/>
  <c r="Q57" i="8"/>
  <c r="M4" i="9"/>
  <c r="Q4" i="9" s="1"/>
  <c r="B42" i="8"/>
  <c r="AB17" i="2"/>
  <c r="Z17" i="2"/>
  <c r="F10" i="11"/>
  <c r="AA79" i="8"/>
  <c r="E6" i="11"/>
  <c r="K12" i="10"/>
  <c r="AC61" i="8"/>
  <c r="B12" i="11"/>
  <c r="D12" i="11" s="1"/>
  <c r="Z73" i="8"/>
  <c r="M5" i="11"/>
  <c r="Q5" i="11" s="1"/>
  <c r="Q80" i="8"/>
  <c r="D41" i="8"/>
  <c r="Z16" i="4"/>
  <c r="AB16" i="4"/>
  <c r="Z69" i="8"/>
  <c r="B4" i="10"/>
  <c r="D4" i="10" s="1"/>
  <c r="M8" i="9"/>
  <c r="Q8" i="9" s="1"/>
  <c r="Q53" i="8"/>
  <c r="B38" i="8"/>
  <c r="AB13" i="2"/>
  <c r="Z13" i="2"/>
  <c r="K12" i="9"/>
  <c r="AC49" i="8"/>
  <c r="Q79" i="8"/>
  <c r="M6" i="11"/>
  <c r="Q6" i="11" s="1"/>
  <c r="Z15" i="4"/>
  <c r="AB15" i="4"/>
  <c r="D40" i="8"/>
  <c r="B11" i="11"/>
  <c r="D11" i="11" s="1"/>
  <c r="Z74" i="8"/>
  <c r="J4" i="11"/>
  <c r="AB81" i="8"/>
  <c r="J12" i="11"/>
  <c r="AB73" i="8"/>
  <c r="AB76" i="8"/>
  <c r="J9" i="11"/>
  <c r="K9" i="10"/>
  <c r="AC64" i="8"/>
  <c r="E13" i="9"/>
  <c r="AA48" i="8"/>
  <c r="M6" i="9"/>
  <c r="Q6" i="9" s="1"/>
  <c r="Q55" i="8"/>
  <c r="B40" i="8"/>
  <c r="AB15" i="2"/>
  <c r="Z15" i="2"/>
  <c r="K9" i="9"/>
  <c r="AC52" i="8"/>
  <c r="K13" i="9"/>
  <c r="AC48" i="8"/>
  <c r="F11" i="11"/>
  <c r="M8" i="10"/>
  <c r="Q8" i="10" s="1"/>
  <c r="C38" i="8"/>
  <c r="Q65" i="8"/>
  <c r="Z13" i="3"/>
  <c r="AB13" i="3"/>
  <c r="AB68" i="8"/>
  <c r="J5" i="10"/>
  <c r="AC65" i="8"/>
  <c r="K8" i="10"/>
  <c r="M12" i="10"/>
  <c r="Q12" i="10" s="1"/>
  <c r="Q61" i="8"/>
  <c r="C34" i="8"/>
  <c r="AB9" i="3"/>
  <c r="Z9" i="3"/>
  <c r="M12" i="9"/>
  <c r="Q12" i="9" s="1"/>
  <c r="AB9" i="2"/>
  <c r="Z9" i="2"/>
  <c r="Q49" i="8"/>
  <c r="B34" i="8"/>
  <c r="K77" i="8"/>
  <c r="O8" i="11"/>
  <c r="R8" i="11" s="1"/>
  <c r="Q13" i="4"/>
  <c r="AC13" i="4"/>
  <c r="AA13" i="4"/>
  <c r="K13" i="10"/>
  <c r="AC60" i="8"/>
  <c r="M11" i="9"/>
  <c r="Q11" i="9" s="1"/>
  <c r="Q50" i="8"/>
  <c r="B35" i="8"/>
  <c r="AB10" i="2"/>
  <c r="Z10" i="2"/>
  <c r="J11" i="11"/>
  <c r="AB74" i="8"/>
  <c r="E7" i="9"/>
  <c r="AA54" i="8"/>
  <c r="M7" i="9"/>
  <c r="Q7" i="9" s="1"/>
  <c r="B39" i="8"/>
  <c r="Q54" i="8"/>
  <c r="Z14" i="2"/>
  <c r="AB14" i="2"/>
  <c r="AA64" i="8"/>
  <c r="E9" i="10"/>
  <c r="Z72" i="8"/>
  <c r="B13" i="11"/>
  <c r="D13" i="11" s="1"/>
  <c r="K5" i="9"/>
  <c r="AC56" i="8"/>
  <c r="K6" i="11"/>
  <c r="AC79" i="8"/>
  <c r="K8" i="9"/>
  <c r="AC53" i="8"/>
  <c r="M11" i="10"/>
  <c r="Q11" i="10" s="1"/>
  <c r="Q62" i="8"/>
  <c r="AB10" i="3"/>
  <c r="C35" i="8"/>
  <c r="Z10" i="3"/>
  <c r="AA57" i="8"/>
  <c r="E4" i="9"/>
  <c r="J10" i="11"/>
  <c r="AB75" i="8"/>
  <c r="B5" i="10"/>
  <c r="D5" i="10" s="1"/>
  <c r="Z68" i="8"/>
  <c r="E11" i="10"/>
  <c r="AA62" i="8"/>
  <c r="E9" i="9"/>
  <c r="AA52" i="8"/>
  <c r="F9" i="11"/>
  <c r="E12" i="10"/>
  <c r="AA61" i="8"/>
  <c r="Z76" i="8"/>
  <c r="B9" i="11"/>
  <c r="D9" i="11" s="1"/>
  <c r="M13" i="10"/>
  <c r="Q13" i="10" s="1"/>
  <c r="Q60" i="8"/>
  <c r="C33" i="8"/>
  <c r="Z8" i="3"/>
  <c r="AB8" i="3"/>
  <c r="K11" i="9"/>
  <c r="AC50" i="8"/>
  <c r="F12" i="11"/>
  <c r="K7" i="9"/>
  <c r="AC54" i="8"/>
  <c r="F5" i="10"/>
  <c r="F6" i="10"/>
  <c r="B4" i="11"/>
  <c r="Z81" i="8"/>
  <c r="J13" i="9" l="1"/>
  <c r="AB48" i="8"/>
  <c r="AB64" i="8"/>
  <c r="J9" i="10"/>
  <c r="J8" i="9"/>
  <c r="AB53" i="8"/>
  <c r="B13" i="9"/>
  <c r="D13" i="9" s="1"/>
  <c r="Z48" i="8"/>
  <c r="AB79" i="8"/>
  <c r="J6" i="11"/>
  <c r="B4" i="9"/>
  <c r="D4" i="9" s="1"/>
  <c r="Z57" i="8"/>
  <c r="E33" i="8"/>
  <c r="H33" i="8" s="1"/>
  <c r="B9" i="10"/>
  <c r="D9" i="10" s="1"/>
  <c r="Z64" i="8"/>
  <c r="AA78" i="8"/>
  <c r="E7" i="11"/>
  <c r="B8" i="10"/>
  <c r="Z65" i="8"/>
  <c r="Z60" i="8"/>
  <c r="B13" i="10"/>
  <c r="E34" i="8"/>
  <c r="H34" i="8" s="1"/>
  <c r="B12" i="9"/>
  <c r="Z49" i="8"/>
  <c r="B6" i="9"/>
  <c r="Z55" i="8"/>
  <c r="Z79" i="8"/>
  <c r="B6" i="11"/>
  <c r="D6" i="11" s="1"/>
  <c r="F4" i="10"/>
  <c r="J4" i="9"/>
  <c r="AB57" i="8"/>
  <c r="B5" i="9"/>
  <c r="Z56" i="8"/>
  <c r="M7" i="11"/>
  <c r="Q7" i="11" s="1"/>
  <c r="D39" i="8"/>
  <c r="Q78" i="8"/>
  <c r="Z14" i="4"/>
  <c r="AB14" i="4"/>
  <c r="B8" i="9"/>
  <c r="Z53" i="8"/>
  <c r="J12" i="9"/>
  <c r="AB49" i="8"/>
  <c r="AC78" i="8"/>
  <c r="K7" i="11"/>
  <c r="B10" i="9"/>
  <c r="Z51" i="8"/>
  <c r="J9" i="9"/>
  <c r="AB52" i="8"/>
  <c r="J7" i="10"/>
  <c r="AB66" i="8"/>
  <c r="AB60" i="8"/>
  <c r="J13" i="10"/>
  <c r="Z80" i="8"/>
  <c r="B5" i="11"/>
  <c r="AB54" i="8"/>
  <c r="J7" i="9"/>
  <c r="AB55" i="8"/>
  <c r="J6" i="9"/>
  <c r="B7" i="10"/>
  <c r="Z66" i="8"/>
  <c r="B7" i="9"/>
  <c r="D7" i="9" s="1"/>
  <c r="Z54" i="8"/>
  <c r="J11" i="10"/>
  <c r="AB62" i="8"/>
  <c r="AB50" i="8"/>
  <c r="J11" i="9"/>
  <c r="Q77" i="8"/>
  <c r="AB13" i="4"/>
  <c r="D38" i="8"/>
  <c r="E38" i="8" s="1"/>
  <c r="Z13" i="4"/>
  <c r="M8" i="11"/>
  <c r="Q8" i="11" s="1"/>
  <c r="Z61" i="8"/>
  <c r="B12" i="10"/>
  <c r="D12" i="10" s="1"/>
  <c r="J10" i="9"/>
  <c r="AB51" i="8"/>
  <c r="B9" i="9"/>
  <c r="D9" i="9" s="1"/>
  <c r="Z52" i="8"/>
  <c r="G39" i="8"/>
  <c r="J10" i="10"/>
  <c r="AB63" i="8"/>
  <c r="B11" i="10"/>
  <c r="D11" i="10" s="1"/>
  <c r="Z62" i="8"/>
  <c r="AA77" i="8"/>
  <c r="E8" i="11"/>
  <c r="E42" i="8"/>
  <c r="F42" i="8"/>
  <c r="J5" i="9"/>
  <c r="AB56" i="8"/>
  <c r="F11" i="10"/>
  <c r="B11" i="9"/>
  <c r="Z50" i="8"/>
  <c r="AC77" i="8"/>
  <c r="K8" i="11"/>
  <c r="F40" i="8"/>
  <c r="E40" i="8"/>
  <c r="G40" i="8" s="1"/>
  <c r="F6" i="11"/>
  <c r="D4" i="11"/>
  <c r="F4" i="11"/>
  <c r="E39" i="8"/>
  <c r="F39" i="8" s="1"/>
  <c r="E35" i="8"/>
  <c r="H35" i="8" s="1"/>
  <c r="J12" i="10"/>
  <c r="AB61" i="8"/>
  <c r="J8" i="10"/>
  <c r="AB65" i="8"/>
  <c r="J5" i="11"/>
  <c r="AB80" i="8"/>
  <c r="F13" i="11"/>
  <c r="E36" i="8"/>
  <c r="H36" i="8" s="1"/>
  <c r="E41" i="8"/>
  <c r="G41" i="8" s="1"/>
  <c r="E37" i="8"/>
  <c r="H37" i="8" s="1"/>
  <c r="B10" i="10"/>
  <c r="Z63" i="8"/>
  <c r="F38" i="8" l="1"/>
  <c r="G38" i="8"/>
  <c r="AE14" i="8"/>
  <c r="F14" i="8"/>
  <c r="L14" i="8"/>
  <c r="E14" i="8"/>
  <c r="G14" i="8" s="1"/>
  <c r="D5" i="11"/>
  <c r="F5" i="11"/>
  <c r="G34" i="8"/>
  <c r="J8" i="11"/>
  <c r="AB77" i="8"/>
  <c r="G35" i="8"/>
  <c r="D10" i="9"/>
  <c r="F10" i="9"/>
  <c r="F12" i="10"/>
  <c r="D12" i="9"/>
  <c r="F12" i="9"/>
  <c r="F33" i="8"/>
  <c r="F7" i="9"/>
  <c r="D8" i="9"/>
  <c r="F8" i="9"/>
  <c r="F35" i="8"/>
  <c r="D5" i="9"/>
  <c r="F5" i="9"/>
  <c r="J7" i="11"/>
  <c r="AB78" i="8"/>
  <c r="F9" i="9"/>
  <c r="F4" i="9"/>
  <c r="F9" i="10"/>
  <c r="D6" i="9"/>
  <c r="F6" i="9"/>
  <c r="G42" i="8"/>
  <c r="C17" i="8" s="1"/>
  <c r="H42" i="8"/>
  <c r="M17" i="8" s="1"/>
  <c r="D10" i="10"/>
  <c r="F10" i="10"/>
  <c r="F37" i="8"/>
  <c r="D11" i="9"/>
  <c r="F11" i="9"/>
  <c r="D7" i="10"/>
  <c r="F7" i="10"/>
  <c r="B7" i="11"/>
  <c r="D7" i="11" s="1"/>
  <c r="Z78" i="8"/>
  <c r="H41" i="8"/>
  <c r="D8" i="10"/>
  <c r="F8" i="10"/>
  <c r="G33" i="8"/>
  <c r="X15" i="8"/>
  <c r="N15" i="8"/>
  <c r="F15" i="8"/>
  <c r="AE15" i="8"/>
  <c r="R15" i="8"/>
  <c r="H15" i="8"/>
  <c r="M15" i="8"/>
  <c r="B15" i="8"/>
  <c r="AG15" i="8"/>
  <c r="AF15" i="8"/>
  <c r="U15" i="8"/>
  <c r="D13" i="10"/>
  <c r="F13" i="10"/>
  <c r="H40" i="8"/>
  <c r="AD15" i="8" s="1"/>
  <c r="G36" i="8"/>
  <c r="F41" i="8"/>
  <c r="H39" i="8"/>
  <c r="N14" i="8" s="1"/>
  <c r="F13" i="9"/>
  <c r="G37" i="8"/>
  <c r="B8" i="11"/>
  <c r="D8" i="11" s="1"/>
  <c r="Z77" i="8"/>
  <c r="H38" i="8"/>
  <c r="F36" i="8"/>
  <c r="F34" i="8"/>
  <c r="H17" i="8" l="1"/>
  <c r="I14" i="8"/>
  <c r="H14" i="8"/>
  <c r="J14" i="8" s="1"/>
  <c r="K14" i="8"/>
  <c r="AE17" i="8"/>
  <c r="B17" i="8"/>
  <c r="M14" i="8"/>
  <c r="B14" i="8"/>
  <c r="H8" i="8"/>
  <c r="N8" i="8"/>
  <c r="X8" i="8"/>
  <c r="M8" i="8"/>
  <c r="W8" i="8"/>
  <c r="C8" i="8"/>
  <c r="AE8" i="8"/>
  <c r="B8" i="8"/>
  <c r="AD8" i="8"/>
  <c r="F8" i="8"/>
  <c r="R8" i="8"/>
  <c r="I8" i="8"/>
  <c r="U8" i="8"/>
  <c r="E8" i="8"/>
  <c r="G8" i="8" s="1"/>
  <c r="L8" i="8"/>
  <c r="AG8" i="8"/>
  <c r="AF8" i="8"/>
  <c r="N17" i="8"/>
  <c r="F8" i="11"/>
  <c r="I17" i="8"/>
  <c r="AD10" i="8"/>
  <c r="R10" i="8"/>
  <c r="V10" i="8" s="1"/>
  <c r="B10" i="8"/>
  <c r="X10" i="8"/>
  <c r="W10" i="8"/>
  <c r="I10" i="8"/>
  <c r="H10" i="8"/>
  <c r="J10" i="8" s="1"/>
  <c r="AE10" i="8"/>
  <c r="F10" i="8"/>
  <c r="E10" i="8" s="1"/>
  <c r="G10" i="8" s="1"/>
  <c r="N10" i="8"/>
  <c r="C10" i="8"/>
  <c r="M10" i="8"/>
  <c r="L10" i="8"/>
  <c r="AF10" i="8"/>
  <c r="AG10" i="8"/>
  <c r="U10" i="8"/>
  <c r="W14" i="8"/>
  <c r="R14" i="8"/>
  <c r="F17" i="8"/>
  <c r="E17" i="8" s="1"/>
  <c r="G17" i="8" s="1"/>
  <c r="V15" i="8"/>
  <c r="R9" i="8"/>
  <c r="V9" i="8" s="1"/>
  <c r="B9" i="8"/>
  <c r="W9" i="8"/>
  <c r="C9" i="8"/>
  <c r="AE9" i="8"/>
  <c r="AD9" i="8"/>
  <c r="I9" i="8"/>
  <c r="H9" i="8"/>
  <c r="N9" i="8"/>
  <c r="M9" i="8"/>
  <c r="X9" i="8"/>
  <c r="F9" i="8"/>
  <c r="E9" i="8" s="1"/>
  <c r="G9" i="8" s="1"/>
  <c r="L9" i="8"/>
  <c r="AF9" i="8"/>
  <c r="U9" i="8"/>
  <c r="AG9" i="8"/>
  <c r="AF17" i="8"/>
  <c r="E15" i="8"/>
  <c r="G15" i="8" s="1"/>
  <c r="H12" i="8"/>
  <c r="J12" i="8" s="1"/>
  <c r="X12" i="8"/>
  <c r="N12" i="8"/>
  <c r="F12" i="8"/>
  <c r="M12" i="8"/>
  <c r="C12" i="8"/>
  <c r="B12" i="8"/>
  <c r="W12" i="8"/>
  <c r="AD12" i="8"/>
  <c r="R12" i="8"/>
  <c r="I12" i="8"/>
  <c r="AE12" i="8"/>
  <c r="E12" i="8"/>
  <c r="G12" i="8" s="1"/>
  <c r="L12" i="8"/>
  <c r="O12" i="8" s="1"/>
  <c r="U12" i="8"/>
  <c r="AF12" i="8"/>
  <c r="AG12" i="8"/>
  <c r="AG17" i="8"/>
  <c r="W17" i="8"/>
  <c r="AF14" i="8"/>
  <c r="X14" i="8"/>
  <c r="AD14" i="8"/>
  <c r="R17" i="8"/>
  <c r="X11" i="8"/>
  <c r="N11" i="8"/>
  <c r="F11" i="8"/>
  <c r="AD11" i="8"/>
  <c r="M11" i="8"/>
  <c r="B11" i="8"/>
  <c r="W11" i="8"/>
  <c r="I11" i="8"/>
  <c r="AE11" i="8"/>
  <c r="R11" i="8"/>
  <c r="V11" i="8" s="1"/>
  <c r="H11" i="8"/>
  <c r="C11" i="8"/>
  <c r="E11" i="8"/>
  <c r="G11" i="8" s="1"/>
  <c r="L11" i="8"/>
  <c r="U11" i="8"/>
  <c r="AF11" i="8"/>
  <c r="AG11" i="8"/>
  <c r="I15" i="8"/>
  <c r="J15" i="8" s="1"/>
  <c r="F7" i="11"/>
  <c r="L15" i="8"/>
  <c r="O15" i="8" s="1"/>
  <c r="W15" i="8"/>
  <c r="U17" i="8"/>
  <c r="X17" i="8"/>
  <c r="U14" i="8"/>
  <c r="C14" i="8"/>
  <c r="D15" i="8"/>
  <c r="L6" i="12"/>
  <c r="O14" i="8"/>
  <c r="P14" i="8" s="1"/>
  <c r="AD17" i="8"/>
  <c r="H16" i="8"/>
  <c r="J16" i="8" s="1"/>
  <c r="X16" i="8"/>
  <c r="N16" i="8"/>
  <c r="F16" i="8"/>
  <c r="E16" i="8" s="1"/>
  <c r="G16" i="8" s="1"/>
  <c r="B16" i="8"/>
  <c r="W16" i="8"/>
  <c r="AE16" i="8"/>
  <c r="I16" i="8"/>
  <c r="AD16" i="8"/>
  <c r="R16" i="8"/>
  <c r="V16" i="8" s="1"/>
  <c r="M16" i="8"/>
  <c r="C16" i="8"/>
  <c r="AF16" i="8"/>
  <c r="L16" i="8"/>
  <c r="U16" i="8"/>
  <c r="AG16" i="8"/>
  <c r="C15" i="8"/>
  <c r="L17" i="8"/>
  <c r="O17" i="8" s="1"/>
  <c r="AG14" i="8"/>
  <c r="R13" i="8"/>
  <c r="B13" i="8"/>
  <c r="H13" i="8"/>
  <c r="J13" i="8" s="1"/>
  <c r="AD13" i="8"/>
  <c r="F13" i="8"/>
  <c r="N13" i="8"/>
  <c r="M13" i="8"/>
  <c r="C13" i="8"/>
  <c r="X13" i="8"/>
  <c r="I13" i="8"/>
  <c r="AE13" i="8"/>
  <c r="W13" i="8"/>
  <c r="E13" i="8"/>
  <c r="G13" i="8" s="1"/>
  <c r="L13" i="8"/>
  <c r="AG13" i="8"/>
  <c r="U13" i="8"/>
  <c r="AF13" i="8"/>
  <c r="P17" i="8" l="1"/>
  <c r="K10" i="8"/>
  <c r="P10" i="8"/>
  <c r="K16" i="8"/>
  <c r="P15" i="8"/>
  <c r="K15" i="8"/>
  <c r="V17" i="8"/>
  <c r="D12" i="8"/>
  <c r="L9" i="12"/>
  <c r="AE10" i="12" s="1"/>
  <c r="D9" i="8"/>
  <c r="L12" i="12"/>
  <c r="AE13" i="12" s="1"/>
  <c r="V8" i="8"/>
  <c r="Q14" i="8"/>
  <c r="O7" i="12"/>
  <c r="O11" i="8"/>
  <c r="D11" i="8"/>
  <c r="L10" i="12"/>
  <c r="P12" i="8"/>
  <c r="K12" i="8"/>
  <c r="J9" i="8"/>
  <c r="K9" i="8" s="1"/>
  <c r="K11" i="8"/>
  <c r="P11" i="8"/>
  <c r="O10" i="8"/>
  <c r="J8" i="8"/>
  <c r="K8" i="8" s="1"/>
  <c r="D17" i="8"/>
  <c r="L4" i="12"/>
  <c r="AE5" i="12" s="1"/>
  <c r="O13" i="8"/>
  <c r="D13" i="8"/>
  <c r="L8" i="12"/>
  <c r="D8" i="8"/>
  <c r="L13" i="12"/>
  <c r="D14" i="8"/>
  <c r="Z14" i="8"/>
  <c r="B7" i="12" s="1"/>
  <c r="D7" i="12" s="1"/>
  <c r="L7" i="12"/>
  <c r="AE8" i="12" s="1"/>
  <c r="N6" i="12"/>
  <c r="AA15" i="8"/>
  <c r="E6" i="12" s="1"/>
  <c r="P13" i="8"/>
  <c r="K13" i="8"/>
  <c r="O16" i="8"/>
  <c r="P16" i="8" s="1"/>
  <c r="V13" i="8"/>
  <c r="D16" i="8"/>
  <c r="L5" i="12"/>
  <c r="AE6" i="12" s="1"/>
  <c r="J11" i="8"/>
  <c r="V12" i="8"/>
  <c r="O9" i="8"/>
  <c r="P9" i="8" s="1"/>
  <c r="V14" i="8"/>
  <c r="D10" i="8"/>
  <c r="L11" i="12"/>
  <c r="AE12" i="12" s="1"/>
  <c r="O8" i="8"/>
  <c r="P8" i="8" s="1"/>
  <c r="J17" i="8"/>
  <c r="K17" i="8" s="1"/>
  <c r="O13" i="12" l="1"/>
  <c r="Q8" i="8"/>
  <c r="AC8" i="8"/>
  <c r="K13" i="12" s="1"/>
  <c r="AC9" i="8"/>
  <c r="K12" i="12" s="1"/>
  <c r="Q9" i="8"/>
  <c r="O12" i="12"/>
  <c r="Q17" i="8"/>
  <c r="AC17" i="8"/>
  <c r="K4" i="12" s="1"/>
  <c r="O4" i="12"/>
  <c r="AE9" i="12"/>
  <c r="N10" i="12"/>
  <c r="AA11" i="8"/>
  <c r="E10" i="12" s="1"/>
  <c r="AA9" i="8"/>
  <c r="E12" i="12" s="1"/>
  <c r="N12" i="12"/>
  <c r="AF13" i="12" s="1"/>
  <c r="Q16" i="8"/>
  <c r="O5" i="12"/>
  <c r="AC16" i="8"/>
  <c r="K5" i="12" s="1"/>
  <c r="AA10" i="8"/>
  <c r="E11" i="12" s="1"/>
  <c r="N11" i="12"/>
  <c r="AA13" i="8"/>
  <c r="E8" i="12" s="1"/>
  <c r="N8" i="12"/>
  <c r="AF9" i="12" s="1"/>
  <c r="R7" i="12"/>
  <c r="AA12" i="8"/>
  <c r="E9" i="12" s="1"/>
  <c r="N9" i="12"/>
  <c r="O11" i="12"/>
  <c r="R11" i="12" s="1"/>
  <c r="Q10" i="8"/>
  <c r="AC10" i="8"/>
  <c r="K11" i="12" s="1"/>
  <c r="Q11" i="8"/>
  <c r="O10" i="12"/>
  <c r="R10" i="12" s="1"/>
  <c r="AC11" i="8"/>
  <c r="K10" i="12" s="1"/>
  <c r="Q13" i="8"/>
  <c r="AC13" i="8"/>
  <c r="K8" i="12" s="1"/>
  <c r="O8" i="12"/>
  <c r="AA14" i="8"/>
  <c r="E7" i="12" s="1"/>
  <c r="F7" i="12" s="1"/>
  <c r="N7" i="12"/>
  <c r="AC14" i="8"/>
  <c r="K7" i="12" s="1"/>
  <c r="AB14" i="8"/>
  <c r="J7" i="12" s="1"/>
  <c r="M7" i="12"/>
  <c r="Q7" i="12" s="1"/>
  <c r="AE7" i="12"/>
  <c r="O9" i="12"/>
  <c r="R9" i="12" s="1"/>
  <c r="AC12" i="8"/>
  <c r="K9" i="12" s="1"/>
  <c r="Q12" i="8"/>
  <c r="AA8" i="8"/>
  <c r="E13" i="12" s="1"/>
  <c r="N13" i="12"/>
  <c r="AA17" i="8"/>
  <c r="E4" i="12" s="1"/>
  <c r="N4" i="12"/>
  <c r="AF5" i="12" s="1"/>
  <c r="AC15" i="8"/>
  <c r="K6" i="12" s="1"/>
  <c r="Q15" i="8"/>
  <c r="O6" i="12"/>
  <c r="R6" i="12" s="1"/>
  <c r="N5" i="12"/>
  <c r="AF6" i="12" s="1"/>
  <c r="AA16" i="8"/>
  <c r="E5" i="12" s="1"/>
  <c r="AE11" i="12"/>
  <c r="AB17" i="8" l="1"/>
  <c r="J4" i="12" s="1"/>
  <c r="M4" i="12"/>
  <c r="Q4" i="12" s="1"/>
  <c r="Z17" i="8"/>
  <c r="B4" i="12" s="1"/>
  <c r="D4" i="12" s="1"/>
  <c r="F13" i="12"/>
  <c r="AF8" i="12"/>
  <c r="AF12" i="12"/>
  <c r="AF11" i="12"/>
  <c r="AB9" i="8"/>
  <c r="J12" i="12" s="1"/>
  <c r="M12" i="12"/>
  <c r="Q12" i="12" s="1"/>
  <c r="Z9" i="8"/>
  <c r="B12" i="12" s="1"/>
  <c r="D12" i="12" s="1"/>
  <c r="M10" i="12"/>
  <c r="Q10" i="12" s="1"/>
  <c r="AB11" i="8"/>
  <c r="J10" i="12" s="1"/>
  <c r="Z11" i="8"/>
  <c r="B10" i="12" s="1"/>
  <c r="D10" i="12" s="1"/>
  <c r="AB12" i="8"/>
  <c r="J9" i="12" s="1"/>
  <c r="M9" i="12"/>
  <c r="Q9" i="12" s="1"/>
  <c r="Z12" i="8"/>
  <c r="B9" i="12" s="1"/>
  <c r="D9" i="12" s="1"/>
  <c r="F11" i="12"/>
  <c r="AF7" i="12"/>
  <c r="AB10" i="8"/>
  <c r="J11" i="12" s="1"/>
  <c r="M11" i="12"/>
  <c r="Q11" i="12" s="1"/>
  <c r="Z10" i="8"/>
  <c r="B11" i="12" s="1"/>
  <c r="D11" i="12" s="1"/>
  <c r="R8" i="12"/>
  <c r="AB15" i="8"/>
  <c r="J6" i="12" s="1"/>
  <c r="M6" i="12"/>
  <c r="Q6" i="12" s="1"/>
  <c r="Z15" i="8"/>
  <c r="B6" i="12" s="1"/>
  <c r="AF10" i="12"/>
  <c r="R5" i="12"/>
  <c r="AB8" i="8"/>
  <c r="J13" i="12" s="1"/>
  <c r="M13" i="12"/>
  <c r="Q13" i="12" s="1"/>
  <c r="Z8" i="8"/>
  <c r="B13" i="12" s="1"/>
  <c r="D13" i="12" s="1"/>
  <c r="R12" i="12"/>
  <c r="AB13" i="8"/>
  <c r="J8" i="12" s="1"/>
  <c r="M8" i="12"/>
  <c r="Q8" i="12" s="1"/>
  <c r="Z13" i="8"/>
  <c r="B8" i="12" s="1"/>
  <c r="D8" i="12" s="1"/>
  <c r="AB16" i="8"/>
  <c r="J5" i="12" s="1"/>
  <c r="M5" i="12"/>
  <c r="Q5" i="12" s="1"/>
  <c r="Z16" i="8"/>
  <c r="B5" i="12" s="1"/>
  <c r="D5" i="12" s="1"/>
  <c r="R4" i="12"/>
  <c r="R13" i="12"/>
  <c r="F5" i="12" l="1"/>
  <c r="F9" i="12"/>
  <c r="D6" i="12"/>
  <c r="F6" i="12"/>
  <c r="F8" i="12"/>
  <c r="F12" i="12"/>
  <c r="F10" i="12"/>
  <c r="F4"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Q16" authorId="0" shapeId="0" xr:uid="{00000000-0006-0000-0100-000001000000}">
      <text>
        <r>
          <rPr>
            <sz val="10"/>
            <rFont val="Arial"/>
            <family val="2"/>
          </rPr>
          <t>Core FFO substitution: EastGroup reports no Core FFO for this year. Value is NAREIT FFO attributable to common stockholders (12-mo) from the Q4 2017 Supplemental p.5 Reconciliations.</t>
        </r>
      </text>
    </comment>
    <comment ref="Q17" authorId="0" shapeId="0" xr:uid="{00000000-0006-0000-0100-000002000000}">
      <text>
        <r>
          <rPr>
            <sz val="10"/>
            <rFont val="Arial"/>
            <family val="2"/>
          </rPr>
          <t>Core FFO substitution: EastGroup reports no Core FFO for this year. Value is NAREIT FFO attributable to common stockholders (12-mo) from the Q4 2017 Supplemental p.5 Reconciliations.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E8" authorId="0" shapeId="0" xr:uid="{00000000-0006-0000-0300-000003000000}">
      <text>
        <r>
          <rPr>
            <sz val="10"/>
            <rFont val="Arial"/>
            <family val="2"/>
          </rPr>
          <t>Percentage Leased column repurposed as OCCUPANCY: STAG reports occupancy, not percentage leased. Value = Total Portfolio Occupancy at period-end (Dec 31 snapshot) from the Q4 Supplemental highlights. Operating Portfolio Occupancy (broken out separately only from FY2022) runs modestly higher.</t>
        </r>
      </text>
    </comment>
    <comment ref="U13" authorId="0" shapeId="0" xr:uid="{00000000-0006-0000-0300-000001000000}">
      <text>
        <r>
          <rPr>
            <sz val="10"/>
            <rFont val="Arial"/>
            <family val="2"/>
          </rPr>
          <t>TILC = New + Renewal 'tenant improvements and lease commissions' (year-ended), from the Q4 Supplemental Capital Expenditures page. STAG reports TI and LC only combined, so columns S (TI) and T (LC) are intentionally left blank and the combined total is entered in U. Excludes recurring/non-recurring capex and building expansions/redevelopment. Estimated AFFO (V) = Core FFO (R) - U.</t>
        </r>
      </text>
    </comment>
    <comment ref="AD13" authorId="0" shapeId="0" xr:uid="{00000000-0006-0000-0300-000002000000}">
      <text>
        <r>
          <rPr>
            <sz val="10"/>
            <rFont val="Arial"/>
            <family val="2"/>
          </rPr>
          <t>Rental Rate Change, New &amp; Renewal, Straight-Line, YTD. STAG reports New and Renewal separately (not blended), so this cell is the SF-weighted blend: (NewSF*NewSL + RenewalSF*RenewalSL)/(NewSF+RenewalSF), from the Q4 Supplemental Leasing &amp; Retention Statistics year-ended table. Pre-2018 supplementals label the straight-line measure 'GAAP Rent Change' (same concept).</t>
        </r>
      </text>
    </comment>
    <comment ref="AF13" authorId="0" shapeId="0" xr:uid="{00000000-0006-0000-0300-000004000000}">
      <text>
        <r>
          <rPr>
            <sz val="10"/>
            <rFont val="Arial"/>
            <family val="2"/>
          </rPr>
          <t>WALT computed on the WALT_Calc_STAG tab from the 10-K 'Scheduled Lease Expirations' schedule (SF- and rent-weighted), mirroring EGP's WALT_Calc method. STAG's own reported WALT is SF-weighted only and uses a precise per-lease term, so it differs modestly from this bucketed approximation.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E3" authorId="0" shapeId="0" xr:uid="{00000000-0006-0000-0800-000001000000}">
      <text>
        <r>
          <rPr>
            <sz val="10"/>
            <rFont val="Arial"/>
            <family val="2"/>
          </rPr>
          <t>Chart-label helper columns (added 2026-07-24): AE = YoY growth of Annual NOI (col L); AF = YoY growth of Leveraged Property Cash Flow (col N). The two "labeled YoY growth" charts on this tab pull their bar data labels from these cells (Value From Cells). Formulas only - do not hardcode; 2016 blank by design (no prior year).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E3" authorId="0" shapeId="0" xr:uid="{00000000-0006-0000-0900-000001000000}">
      <text>
        <r>
          <rPr>
            <sz val="10"/>
            <rFont val="Arial"/>
            <family val="2"/>
          </rPr>
          <t>Chart-label helper columns (added 2026-07-24): AE = YoY growth of Annual NOI (col L); AF = YoY growth of Leveraged Property Cash Flow (col N). The two "labeled YoY growth" charts on this tab pull their bar data labels from these cells (Value From Cells). Formulas only - do not hardcode; 2016 blank by design (no prior year).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E3" authorId="0" shapeId="0" xr:uid="{00000000-0006-0000-0A00-000001000000}">
      <text>
        <r>
          <rPr>
            <sz val="10"/>
            <rFont val="Arial"/>
            <family val="2"/>
          </rPr>
          <t>Chart-label helper columns (added 2026-07-24): AE = YoY growth of Annual NOI (col L); AF = YoY growth of Leveraged Property Cash Flow (col N). The two "labeled YoY growth" charts on this tab pull their bar data labels from these cells (Value From Cells). Formulas only - do not hardcode; 2016 blank by design (no prior year).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AE3" authorId="0" shapeId="0" xr:uid="{00000000-0006-0000-0B00-000001000000}">
      <text>
        <r>
          <rPr>
            <sz val="10"/>
            <rFont val="Arial"/>
            <family val="2"/>
          </rPr>
          <t>Chart-label helper columns (added 2026-07-24): AE = YoY growth of Annual NOI (col L); AF = YoY growth of Leveraged Property Cash Flow (col N). The two "labeled YoY growth" charts on this tab pull their bar data labels from these cells (Value From Cells). Formulas only - do not hardcode; 2016 blank by design (no prior year).</t>
        </r>
      </text>
    </comment>
  </commentList>
</comments>
</file>

<file path=xl/sharedStrings.xml><?xml version="1.0" encoding="utf-8"?>
<sst xmlns="http://schemas.openxmlformats.org/spreadsheetml/2006/main" count="2888" uniqueCount="767">
  <si>
    <t>Tab</t>
  </si>
  <si>
    <t>Series / Metric</t>
  </si>
  <si>
    <t>Source Organization</t>
  </si>
  <si>
    <t>Source Type</t>
  </si>
  <si>
    <t>Source Location</t>
  </si>
  <si>
    <t>Update Cadence</t>
  </si>
  <si>
    <t>Last Verified</t>
  </si>
  <si>
    <t>2025</t>
  </si>
  <si>
    <t>Annual NOI (Property NOI, 12-mo, EGP share)</t>
  </si>
  <si>
    <t>EastGroup Properties</t>
  </si>
  <si>
    <t>Primary (company filings)</t>
  </si>
  <si>
    <t>Q4 2025 Supplemental p.6 Reconciliations (10-K MD&amp;A)</t>
  </si>
  <si>
    <t>Annual</t>
  </si>
  <si>
    <t>2026-02-11</t>
  </si>
  <si>
    <t>Annual Interest Paid (interest expense, net of capitalized)</t>
  </si>
  <si>
    <t>Q4 2025 Supplemental p.4 Income Statement (10-K)</t>
  </si>
  <si>
    <t>Year-End Share Price</t>
  </si>
  <si>
    <t>Q4 2025 Supplemental p.19 Debt and Equity Market Cap</t>
  </si>
  <si>
    <t>Shares Outstanding, common, period-end</t>
  </si>
  <si>
    <t>Q4 2025 Supplemental p.3 Balance Sheet (10-K cover)</t>
  </si>
  <si>
    <t>Land Value (land in operating real estate)</t>
  </si>
  <si>
    <t>FY2025 Form 10-K, real estate cost detail (Land row). 10-K ONLY</t>
  </si>
  <si>
    <t>Development and Value-Add Properties</t>
  </si>
  <si>
    <t>Q4 2025 Supplemental p.3 Balance Sheet</t>
  </si>
  <si>
    <t>Unsecured Debt (bank facilities + notes, net)</t>
  </si>
  <si>
    <t>Loans Payable (secured debt); EGP = 0</t>
  </si>
  <si>
    <t>Q4 2025 Supplemental p.3 Balance Sheet (none reported)</t>
  </si>
  <si>
    <t>Core FFO proxy: FFO excl gain on involuntary conversion</t>
  </si>
  <si>
    <t>Q4 2025 Supplemental p.5 Reconciliations. EGP reports no Core FFO</t>
  </si>
  <si>
    <t>TI, total (new + renewal tenants)</t>
  </si>
  <si>
    <t>Q4 2025 Supplemental p.14 Real Estate Improvements and Leasing Costs</t>
  </si>
  <si>
    <t>LC, total capitalized leasing costs</t>
  </si>
  <si>
    <t>Q4 2025 Supplemental p.14</t>
  </si>
  <si>
    <t>CF Provided by Operating Activities</t>
  </si>
  <si>
    <t>Q4 2025 Supplemental p.7 Cash Flows</t>
  </si>
  <si>
    <t>Distributions Paid to stockholders</t>
  </si>
  <si>
    <t>Q4 2025 Supplemental p.7 Cash Flows (financing)</t>
  </si>
  <si>
    <t>10 YR UST</t>
  </si>
  <si>
    <t>10-Yr UST Yield, year-end</t>
  </si>
  <si>
    <t>U.S. Federal Reserve (FRED)</t>
  </si>
  <si>
    <t>Primary (govt data)</t>
  </si>
  <si>
    <t>fred.stlouisfed.org/series/DGS10</t>
  </si>
  <si>
    <t>Prime Rate</t>
  </si>
  <si>
    <t>Bank Prime Loan Rate (annual, NSA)</t>
  </si>
  <si>
    <t>Board of Governors of the Federal Reserve System (US)</t>
  </si>
  <si>
    <t>Primary (via FRED)</t>
  </si>
  <si>
    <t>FRED series MPRIME, annual frequency; downloaded 2026-07-04</t>
  </si>
  <si>
    <t>2026-07-04</t>
  </si>
  <si>
    <t>2024</t>
  </si>
  <si>
    <t>FY2024 figures: same document set, prior-year columns</t>
  </si>
  <si>
    <t>FY2025 Form 10-K and Q4 2025 Supplemental, 2024 columns</t>
  </si>
  <si>
    <t>Year-End Share Price (2024)</t>
  </si>
  <si>
    <t>Q4 2025 Supplemental p.10 Financial Statistics (five-year strip)</t>
  </si>
  <si>
    <t>Land Value (2024)</t>
  </si>
  <si>
    <t>FY2025 Form 10-K real estate cost detail, Land 2024 column (888,140). 10-K ONLY</t>
  </si>
  <si>
    <t>2023</t>
  </si>
  <si>
    <t>Q4 2023 Supplemental p.6 Reconciliations, PNOI (10-K MD&amp;A)</t>
  </si>
  <si>
    <t>Q4 2023 Supplemental p.4 Income Statement (10-K)</t>
  </si>
  <si>
    <t>Q4 2023 Supplemental p.19 Debt and Equity Market Cap</t>
  </si>
  <si>
    <t>Q4 2023 Supplemental p.3 Balance Sheet (10-K cover)</t>
  </si>
  <si>
    <t>FY2023 Form 10-K, real estate cost detail (Land row, 814,364). 10-K ONLY</t>
  </si>
  <si>
    <t>Q4 2023 Supplemental p.3 Balance Sheet</t>
  </si>
  <si>
    <t>Q4 2023 Supplemental p.3 Balance Sheet (-1,520 + 1,676,347)</t>
  </si>
  <si>
    <t>Loans Payable (secured debt); EGP 2023 = 0</t>
  </si>
  <si>
    <t>Q4 2023 Supplemental p.3 Balance Sheet (secured debt = 0)</t>
  </si>
  <si>
    <t>Q4 2023 Supplemental p.5 Reconciliations. EGP reports no Core FFO</t>
  </si>
  <si>
    <t>Q4 2023 Supplemental p.14 Real Estate Improvements and Leasing Costs</t>
  </si>
  <si>
    <t>Q4 2023 Supplemental p.14</t>
  </si>
  <si>
    <t>Q4 2023 Supplemental p.7 Cash Flows</t>
  </si>
  <si>
    <t>Q4 2023 Supplemental p.7 Cash Flows (financing)</t>
  </si>
  <si>
    <t>2022</t>
  </si>
  <si>
    <t>FY2022 figures: same document set, prior-year columns</t>
  </si>
  <si>
    <t>FY2023 Form 10-K and Q4 2023 Supplemental, 2022 columns</t>
  </si>
  <si>
    <t>Year-End Share Price (2022)</t>
  </si>
  <si>
    <t>Q4 2023 Supplemental p.10 Financial Statistics (five-year strip)</t>
  </si>
  <si>
    <t>Land Value (2022)</t>
  </si>
  <si>
    <t>FY2023 Form 10-K real estate cost detail, Land 2022 column (730,445). 10-K ONLY</t>
  </si>
  <si>
    <t>Loans Payable / Secured Debt (2022) = 2,031</t>
  </si>
  <si>
    <t>Q4 2023 Supplemental p.3 Balance Sheet (secured debt, net = 2,031)</t>
  </si>
  <si>
    <t>2021</t>
  </si>
  <si>
    <t>Q4 2021 Supplemental p.6 Reconciliations, PNOI 12-mo (also 10-K MD&amp;A)</t>
  </si>
  <si>
    <t>2025-01-31</t>
  </si>
  <si>
    <t>Q4 2021 Supplemental p.4 Income Statement, Interest expense 12-mo (10-K)</t>
  </si>
  <si>
    <t>Q4 2021 Supplemental p.19 Debt and Equity Market Cap (227.85)</t>
  </si>
  <si>
    <t>Q4 2021 Supplemental p.3 Balance Sheet (41,268,846); 10-K cover</t>
  </si>
  <si>
    <t>FY2021 Form 10-K real estate cost detail, Land 2021 col (544,505). 10-K ONLY</t>
  </si>
  <si>
    <t>Q4 2021 Supplemental p.3 Balance Sheet (504,614)</t>
  </si>
  <si>
    <t>Q4 2021 Supplemental p.3 Balance Sheet (207,066 + 1,242,570)</t>
  </si>
  <si>
    <t>Loans Payable (secured debt, net)</t>
  </si>
  <si>
    <t>Q4 2021 Supplemental p.3 Balance Sheet, Secured debt net (2,142)</t>
  </si>
  <si>
    <t>Core FFO proxy: NAREIT FFO attributable to common</t>
  </si>
  <si>
    <t>Q4 2021 Supplemental p.5 Reconciliations, FFO 12-mo (245,933). EGP reports no Core FFO</t>
  </si>
  <si>
    <t>Q4 2021 Supplemental p.14 Real Estate Improvements &amp; Leasing Costs (13,603 + 3,935)</t>
  </si>
  <si>
    <t>Q4 2021 Supplemental p.14 Total Capitalized Leasing Costs (33,381)</t>
  </si>
  <si>
    <t>Q4 2021 Supplemental p.7 Cash Flows (256,492)</t>
  </si>
  <si>
    <t>Q4 2021 Supplemental p.7 Cash Flows, financing (131,759)</t>
  </si>
  <si>
    <t>2020</t>
  </si>
  <si>
    <t>FY2020 figures: same document set, prior-year columns</t>
  </si>
  <si>
    <t>FY2021 Form 10-K and Q4 2021 Supplemental, 2020 columns</t>
  </si>
  <si>
    <t>Year-End Share Price (2020)</t>
  </si>
  <si>
    <t>Q4 2021 Supplemental p.10 Financial Statistics five-year strip (138.06)</t>
  </si>
  <si>
    <t>Land Value (2020)</t>
  </si>
  <si>
    <t>FY2021 Form 10-K real estate cost detail, Land 2020 col (502,739). 10-K ONLY</t>
  </si>
  <si>
    <t>Loans Payable / Secured Debt (2020) = 78,993</t>
  </si>
  <si>
    <t>Q4 2021 Supplemental p.3 Balance Sheet, Secured debt net, 2020 col (78,993)</t>
  </si>
  <si>
    <t>2019</t>
  </si>
  <si>
    <t>Q4 2019 Supplemental p.6 Reconciliations, PNOI 12-mo (238,316) (also 10-K MD&amp;A)</t>
  </si>
  <si>
    <t>2026-07-03</t>
  </si>
  <si>
    <t>Q4 2019 Supplemental p.4/5 Income Statement, Interest expense 12-mo (34,463)</t>
  </si>
  <si>
    <t>Q4 2019 Supplemental p.19 Debt and Equity Market Cap (132.67)</t>
  </si>
  <si>
    <t>Q4 2019 Supplemental p.3 Balance Sheet (38,925,953); 10-K cover</t>
  </si>
  <si>
    <t>FY2019 Form 10-K, Note 2 Real Estate Properties, Land (452,698). 10-K ONLY</t>
  </si>
  <si>
    <t>Q4 2019 Supplemental p.3 Balance Sheet (419,999)</t>
  </si>
  <si>
    <t>Q4 2019 Supplemental p.3 Balance Sheet (111,394 + 938,115)</t>
  </si>
  <si>
    <t>Q4 2019 Supplemental p.3 Balance Sheet, Secured debt (133,093)</t>
  </si>
  <si>
    <t>Core FFO proxy: FFO excl gain on casualties/involuntary conversion</t>
  </si>
  <si>
    <t>Q4 2019 Supplemental p.5 Reconciliations (186,433). EGP reports no Core FFO</t>
  </si>
  <si>
    <t>Q4 2019 Supplemental p.14 Real Estate Improvements &amp; Leasing Costs (13,113 + 3,908)</t>
  </si>
  <si>
    <t>Q4 2019 Supplemental p.14 Total Capitalized Leasing Costs (19,034)</t>
  </si>
  <si>
    <t>Q4 2019 Supplemental p.7 Cash Flows (195,912)</t>
  </si>
  <si>
    <t>Q4 2019 Supplemental p.7 Cash Flows, financing (108,795)</t>
  </si>
  <si>
    <t>2018</t>
  </si>
  <si>
    <t>FY2018 figures: same document set, prior-year columns</t>
  </si>
  <si>
    <t>FY2019 Form 10-K and Q4 2019 Supplemental, 2018 columns</t>
  </si>
  <si>
    <t>Year-End Share Price (2018)</t>
  </si>
  <si>
    <t>Q4 2019 Supplemental p.10 Financial Statistics five-year strip (91.73)</t>
  </si>
  <si>
    <t>Land Value (2018)</t>
  </si>
  <si>
    <t>FY2019 Form 10-K, Note 2 Real Estate Properties, 2018 column (380,684). 10-K ONLY</t>
  </si>
  <si>
    <t>Loans Payable / Secured Debt (2018) = 188,461</t>
  </si>
  <si>
    <t>Q4 2019 Supplemental p.3 Balance Sheet, Secured debt, 2018 col (188,461)</t>
  </si>
  <si>
    <t>2017</t>
  </si>
  <si>
    <t>Q4 2017 Supplemental p.5 Reconciliations, PNOI 12-mo (194,187) (also 10-K MD&amp;A)</t>
  </si>
  <si>
    <t>Q4 2017 Supplemental p.4 Income Statement, Interest expense 12-mo (34,775) (10-K)</t>
  </si>
  <si>
    <t>Q4 2017 Supplemental p.10 Debt-to-Total Market Capitalization (88.38)</t>
  </si>
  <si>
    <t>Q4 2017 Supplemental p.3 Balance Sheet (34,758,167); 10-K cover</t>
  </si>
  <si>
    <t>FY2017 Form 10-K, Real Estate Properties cost detail, Land (345,424). 10-K ONLY</t>
  </si>
  <si>
    <t>Q4 2017 Supplemental p.3 Balance Sheet, Development (242,014)</t>
  </si>
  <si>
    <t>Q4 2017 Supplemental p.3 Balance Sheet (195,709 + 713,061)</t>
  </si>
  <si>
    <t>Q4 2017 Supplemental p.3 Balance Sheet, Secured debt (199,512)</t>
  </si>
  <si>
    <t>Q4 2017 Supplemental p.5 Reconciliations, FFO 12-mo (145,102). EGP reports no Core FFO</t>
  </si>
  <si>
    <t>Q4 2017 Supplemental p.15 Real Estate Improvements &amp; Leasing Costs (11,413 + 3,357)</t>
  </si>
  <si>
    <t>Q4 2017 Supplemental p.15 Total Capitalized Leasing Costs (16,260)</t>
  </si>
  <si>
    <t>Q4 2017 Supplemental p.6 Cash Flows (155,014)</t>
  </si>
  <si>
    <t>Q4 2017 Supplemental p.6 Cash Flows, financing (86,725)</t>
  </si>
  <si>
    <t>2016</t>
  </si>
  <si>
    <t>FY2016 figures: same document set, prior-year columns</t>
  </si>
  <si>
    <t>FY2017 Form 10-K and Q4 2017 Supplemental, 2016 columns</t>
  </si>
  <si>
    <t>Year-End Share Price (2016)</t>
  </si>
  <si>
    <t>Q4 2017 Supplemental p.23 Financial Statistics five-year strip (73.84)</t>
  </si>
  <si>
    <t>Land Value (2016)</t>
  </si>
  <si>
    <t>FY2017 Form 10-K Real Estate Properties cost detail, Land 2016 column (308,931). 10-K ONLY</t>
  </si>
  <si>
    <t>Development and Value-Add Properties (2016)</t>
  </si>
  <si>
    <t>Q4 2017 Supplemental p.3 Balance Sheet, Development 2016 column (293,908)</t>
  </si>
  <si>
    <t>Unsecured Debt (2016)</t>
  </si>
  <si>
    <t>Q4 2017 Supplemental p.3 Balance Sheet, 2016 columns (190,990 + 652,838)</t>
  </si>
  <si>
    <t>Loans Payable / Secured Debt (2016) = 257,505</t>
  </si>
  <si>
    <t>Q4 2017 Supplemental p.3 Balance Sheet, Secured debt 2016 column (257,505)</t>
  </si>
  <si>
    <t>Annual NOI (Property NOI, 12-mo, 2016)</t>
  </si>
  <si>
    <t>Q4 2017 Supplemental p.5 Reconciliations, PNOI 12-mo 2016 (178,697)</t>
  </si>
  <si>
    <t>Annual Interest Paid (2016)</t>
  </si>
  <si>
    <t>Q4 2017 Supplemental p.4 Income Statement, Interest expense 12-mo 2016 (35,213)</t>
  </si>
  <si>
    <t>Shares Outstanding, common, period-end (2016)</t>
  </si>
  <si>
    <t>Q4 2017 Supplemental p.3 Balance Sheet (33,332,213)</t>
  </si>
  <si>
    <t>Core FFO proxy: NAREIT FFO attributable to common (2016)</t>
  </si>
  <si>
    <t>Q4 2017 Supplemental p.5 Reconciliations, FFO 12-mo 2016 (131,184)</t>
  </si>
  <si>
    <t>TI, total (new + renewal tenants) (2016)</t>
  </si>
  <si>
    <t>Q4 2017 Supplemental p.15 (9,976 + 2,748)</t>
  </si>
  <si>
    <t>LC, total capitalized leasing costs (2016)</t>
  </si>
  <si>
    <t>Q4 2017 Supplemental p.15 Total Capitalized Leasing Costs (14,468)</t>
  </si>
  <si>
    <t>CF Provided by Operating Activities (2016)</t>
  </si>
  <si>
    <t>Q4 2017 Supplemental p.6 Cash Flows (138,864)</t>
  </si>
  <si>
    <t>Distributions Paid to stockholders (2016)</t>
  </si>
  <si>
    <t>Q4 2017 Supplemental p.6 Cash Flows, financing (80,899)</t>
  </si>
  <si>
    <t>US Industrial</t>
  </si>
  <si>
    <t>National industrial inventory, deliveries, starts, absorption, vacancy, asking rent and rent growth, under construction (2000-2026 YTD)</t>
  </si>
  <si>
    <t>CoStar</t>
  </si>
  <si>
    <t>Proprietary (CoStar, licensed via MIT CRE)</t>
  </si>
  <si>
    <t>CoStar national industrial export, March 2026 (industrial-national-supply-cycle.xlsx)</t>
  </si>
  <si>
    <t>Quarterly</t>
  </si>
  <si>
    <t>Regional Mar 2026</t>
  </si>
  <si>
    <t>Regional summary and market detail, 75 MSAs with 100M+ SF industrial inventory (point-in-time)</t>
  </si>
  <si>
    <t>CoStar market export, March 2026 (industrial-regional-divergence.xlsx)</t>
  </si>
  <si>
    <t>EGP vs Market</t>
  </si>
  <si>
    <t>All columns derived by formula from the EGP, 10 YR UST, Prime Rate, US Industrial, Inflation, and Green Street National tabs</t>
  </si>
  <si>
    <t>CALC (this workbook)</t>
  </si>
  <si>
    <t>Derived</t>
  </si>
  <si>
    <t>This workbook; no direct inputs</t>
  </si>
  <si>
    <t>n/a</t>
  </si>
  <si>
    <t>EGP</t>
  </si>
  <si>
    <t>Gross NOI Multiple; Leveraged NOI Multiple (CRE42-defined measures)</t>
  </si>
  <si>
    <t>Derived from EGP tab columns; definitions on EGP vs Market tab</t>
  </si>
  <si>
    <t>Rental Rate Change, new &amp; renewal, straight-line YTD (EGP col AC)</t>
  </si>
  <si>
    <t>Q4 Supplemental, Core Market Operating Statistics, Total Operating Properties, YTD straight-line basis. FY2016–FY2025</t>
  </si>
  <si>
    <t>Percentage Leased, period-end 12/31 (EGP col AD)</t>
  </si>
  <si>
    <t>Q4 Supplemental, Leasing Statistics and Occupancy Summary, period-end (12/31) column. FY2016–FY2025</t>
  </si>
  <si>
    <t>WALT, SF-weighted (EGP col AE)</t>
  </si>
  <si>
    <t>Form 10-K, Item 2 Properties, lease-expiration schedule; SF-weighted. Computed on WALT_Calc tab. FY2016–FY2025</t>
  </si>
  <si>
    <t>WALT, rent-weighted (EGP col AF)</t>
  </si>
  <si>
    <t>Form 10-K, Item 2 Properties, lease-expiration schedule; rent-weighted (Annualized Base Rent). Computed on WALT_Calc tab. FY2016–FY2025</t>
  </si>
  <si>
    <t>WALT_Calc</t>
  </si>
  <si>
    <t>Lease-expiration schedule inputs (SF and Annualized Base Rent by expiration year)</t>
  </si>
  <si>
    <t>Form 10-K, Item 2 Properties, lease-expiration schedule, by fiscal year. FY2016–FY2025</t>
  </si>
  <si>
    <t>Green Street National</t>
  </si>
  <si>
    <t>Supply Growth, industrial, 51-market weighted average, annual 2016-2030 (2026-2030 are Green Street forecasts)</t>
  </si>
  <si>
    <t>Green Street</t>
  </si>
  <si>
    <t>Proprietary (Green Street)</t>
  </si>
  <si>
    <t>Green Street Standardized Downloads, Supply Growth (Industrial), as of May 21, 2026</t>
  </si>
  <si>
    <t>2026-07-05</t>
  </si>
  <si>
    <t>Market-RevPAF Growth, industrial, 51-market weighted average, annual 2016-2030 (2026-2030 are Green Street forecasts)</t>
  </si>
  <si>
    <t>Green Street Standardized Downloads, Market-RevPAF Growth (Industrial), as of May 21, 2026</t>
  </si>
  <si>
    <t>Nominal Cap Rate, industrial, 51-market weighted average; annual rows use 4Q values, 2026 row uses 2Q26</t>
  </si>
  <si>
    <t>Green Street Standardized Downloads, Market Cap Rates (Industrial), quarterly 1Q05-2Q26, as of May 21, 2026</t>
  </si>
  <si>
    <t>CPPI, industrial, 51-market weighted average; annual rows use 4Q values, 2026 row uses 2Q26</t>
  </si>
  <si>
    <t>Green Street Standardized Downloads, CPPI (Industrial), quarterly 1Q05-2Q26, as of May 21, 2026</t>
  </si>
  <si>
    <t>Inflation</t>
  </si>
  <si>
    <t>PPI: New Nonresidential Building Construction (WPU801), annual average, 2010-2025</t>
  </si>
  <si>
    <t>U.S. Bureau of Labor Statistics (via FRED)</t>
  </si>
  <si>
    <t>Primary (govt data, via FRED)</t>
  </si>
  <si>
    <t>FRED series WPU801, annual frequency; downloaded 2026-07-05</t>
  </si>
  <si>
    <t>CPI, All Urban Consumers (CPIAUCSL), annual average, 2010-2025</t>
  </si>
  <si>
    <t>FRED series CPIAUCSL, annual frequency; downloaded 2026-07-05</t>
  </si>
  <si>
    <t>Notes:</t>
  </si>
  <si>
    <t>Core FFO: EastGroup does not report a Core FFO measure. This model uses FFO</t>
  </si>
  <si>
    <t>attributable to common stockholders, excluding gain on involuntary conversion and</t>
  </si>
  <si>
    <t>business interruption claims, as the closest recurring-FFO analog.</t>
  </si>
  <si>
    <t>Input cells hold figures reported directly in the two documents, or the explicit</t>
  </si>
  <si>
    <t>sum of reported line items (e.g., Unsecured Debt, total TI). No derived, estimated,</t>
  </si>
  <si>
    <t>or third-source values in any input cell.</t>
  </si>
  <si>
    <t>10-Yr UST is macro data in the workbook (FRED DGS10), not from the EGP documents.</t>
  </si>
  <si>
    <t>Operational metrics added FY2016–FY2025 (EGP tab, columns AC–AF): rental rate change, percentage leased, WALT (SF- and rent-weighted). Sourced from EGP Q4 Supplementals and Form 10-Ks; WALT computed on the WALT_Calc tab.</t>
  </si>
  <si>
    <t>• File-labeling swap: in the project files, EGP_Supplemental_Q4_2020.pdf actually contains the FY2025 (12/31/2025) supplemental and EGP_Supplemental_Q4_2025.pdf actually contains the FY2020 (12/31/2020) supplemental; the two filenames are swapped. FY2020 and FY2025 figures were pulled from the correct, content-verified files, not by filename. The other eight supplementals are labeled correctly.</t>
  </si>
  <si>
    <t>• Rental rate change (col AC) is the YTD twelve-month straight-line rate change for new &amp; renewal leases combined (Total Operating Properties). It equals the Twelve Months Ended, Total, Weighted Average, Straight-Line Basis figure on the Leasing Statistics page in every year checked; both sources agree.</t>
  </si>
  <si>
    <t>• WALT (cols AE, AF): term (yrs) = expiration year minus fiscal year; each year’s terminal (FY+10) and beyond bucket is treated as FY+10 (10 yrs). SF-weighted (col AE) is the primary figure; rent-weighted (col AF) is shown for reference and differs by less than 0.1 yr each year. See WALT_Calc tab.</t>
  </si>
  <si>
    <t>• The 10-K lease-expiration schedule covers leased space only (no vacant or Available line). FY2016–2017 tables exclude month-to-month leases; FY2018 onward include them in the first-year bucket. Figures are used exactly as presented in each 10-K.</t>
  </si>
  <si>
    <t>• Supplemental page numbers in the source workbook are for the FY2025 book; earlier years carry the same tables on nearby pages, located by content rather than fixed page number.</t>
  </si>
  <si>
    <t>FR — First Industrial Realty Trust (added FY2021–FY2025)</t>
  </si>
  <si>
    <t>Annual NOI (Supplemental NET OPERATING INCOME, 12-mo)</t>
  </si>
  <si>
    <t>First Industrial Realty Trust</t>
  </si>
  <si>
    <t>Q4 2025 Supplemental, Supplemental Statements of Operations (Total Revenues less Property Expenses)</t>
  </si>
  <si>
    <t>2026-07-07</t>
  </si>
  <si>
    <t>Annual Interest Paid (Interest Expense, net of capitalized interest, 12-mo)</t>
  </si>
  <si>
    <t>FY2025 Form 10-K, Consolidated Statements of Operations (Interest Expense line)</t>
  </si>
  <si>
    <t>Q4 2025 Supplemental, Equity Analysis (End of Quarter Common Share Price)</t>
  </si>
  <si>
    <t>Shares + OP Units Outstanding, period-end (GP + LP units)</t>
  </si>
  <si>
    <t>FY2025 Form 10-K, Note 6 share/unit roll-forward (Balance at Dec 31)</t>
  </si>
  <si>
    <t>Land Value (land in Investment in Real Estate)</t>
  </si>
  <si>
    <t>FY2025 Form 10-K, Consolidated Balance Sheet (Land). 10-K ONLY</t>
  </si>
  <si>
    <t>Development / Construction in Progress</t>
  </si>
  <si>
    <t>FY2025 Form 10-K, Consolidated Balance Sheet (Construction in Progress)</t>
  </si>
  <si>
    <t>Unsecured Debt (Senior Unsecured Notes + Unsecured Term Loans + Unsecured Credit Facility, net)</t>
  </si>
  <si>
    <t>FY2025 Form 10-K, Consolidated Balance Sheet (sum of three unsecured lines, net of issuance costs)</t>
  </si>
  <si>
    <t>Loans Payable (secured): Mortgage Loan Payable, net</t>
  </si>
  <si>
    <t>FY2025 Form 10-K, Consolidated Balance Sheet (Mortgage Loan Payable)</t>
  </si>
  <si>
    <t>Core FFO proxy: FFO (NAREIT), 12-mo</t>
  </si>
  <si>
    <t>Q4 2025 Supplemental, Supplemental Statements of Operations. FR reports no separate Core FFO</t>
  </si>
  <si>
    <t>TI proxy: Non-incremental Building Improvements, 12-mo</t>
  </si>
  <si>
    <t>Q4 2025 Supplemental, AFFO reconciliation. SUBSTITUTION — see FR note (b)</t>
  </si>
  <si>
    <t>LC proxy: Non-incremental Leasing Costs, 12-mo</t>
  </si>
  <si>
    <t>FY2025 Form 10-K, Consolidated Statements of Cash Flows (operating)</t>
  </si>
  <si>
    <t>Distributions Paid (Common Stock Dividends and Unit Distributions Paid)</t>
  </si>
  <si>
    <t>FY2025 Form 10-K, Consolidated Statements of Cash Flows (financing)</t>
  </si>
  <si>
    <t>Rental Rate Change, YTD straight-line, Total/Average (new + renewal)</t>
  </si>
  <si>
    <t>Q4 2025 Supplemental, Leasing Activity (Twelve Months, Total/Average, Straight-line Basis Rent Growth)</t>
  </si>
  <si>
    <t>Occupancy — In-Service GLA, period-end (col AD)</t>
  </si>
  <si>
    <t>Q4 2025 Supplemental, Property Overview (Occupancy Rates - In Service GLA). FR reports occupancy, not % leased</t>
  </si>
  <si>
    <t>Q4 2024 Supplemental, Supplemental Statements of Operations (Total Revenues less Property Expenses)</t>
  </si>
  <si>
    <t>FY2024 Form 10-K, Consolidated Statements of Operations (Interest Expense line)</t>
  </si>
  <si>
    <t>Q4 2024 Supplemental, Equity Analysis (End of Quarter Common Share Price)</t>
  </si>
  <si>
    <t>FY2024 Form 10-K, Note 6 share/unit roll-forward (Balance at Dec 31)</t>
  </si>
  <si>
    <t>FY2024 Form 10-K, Consolidated Balance Sheet (Land). 10-K ONLY</t>
  </si>
  <si>
    <t>FY2024 Form 10-K, Consolidated Balance Sheet (Construction in Progress)</t>
  </si>
  <si>
    <t>FY2024 Form 10-K, Consolidated Balance Sheet (sum of three unsecured lines, net of issuance costs)</t>
  </si>
  <si>
    <t>FY2024 Form 10-K, Consolidated Balance Sheet (Mortgage Loan Payable)</t>
  </si>
  <si>
    <t>Q4 2024 Supplemental, Supplemental Statements of Operations. FR reports no separate Core FFO</t>
  </si>
  <si>
    <t>Q4 2024 Supplemental, AFFO reconciliation. SUBSTITUTION — see FR note (b)</t>
  </si>
  <si>
    <t>FY2024 Form 10-K, Consolidated Statements of Cash Flows (operating)</t>
  </si>
  <si>
    <t>FY2024 Form 10-K, Consolidated Statements of Cash Flows (financing)</t>
  </si>
  <si>
    <t>Q4 2024 Supplemental, Leasing Activity (Twelve Months, Total/Average, Straight-line Basis Rent Growth)</t>
  </si>
  <si>
    <t>Q4 2024 Supplemental, Property Overview (Occupancy Rates - In Service GLA). FR reports occupancy, not % leased</t>
  </si>
  <si>
    <t>Q4 2023 Supplemental, Supplemental Statements of Operations (Total Revenues less Property Expenses)</t>
  </si>
  <si>
    <t>FY2023 Form 10-K, Consolidated Statements of Operations (Interest Expense line)</t>
  </si>
  <si>
    <t>Q4 2023 Supplemental, Equity Analysis (End of Quarter Common Share Price)</t>
  </si>
  <si>
    <t>FY2023 Form 10-K, Note 6 share/unit roll-forward (Balance at Dec 31)</t>
  </si>
  <si>
    <t>FY2023 Form 10-K, Consolidated Balance Sheet (Land). 10-K ONLY</t>
  </si>
  <si>
    <t>FY2023 Form 10-K, Consolidated Balance Sheet (Construction in Progress)</t>
  </si>
  <si>
    <t>FY2023 Form 10-K, Consolidated Balance Sheet (sum of three unsecured lines, net of issuance costs)</t>
  </si>
  <si>
    <t>FY2023 Form 10-K, Consolidated Balance Sheet (Mortgage Loan Payable)</t>
  </si>
  <si>
    <t>Q4 2023 Supplemental, Supplemental Statements of Operations. FR reports no separate Core FFO</t>
  </si>
  <si>
    <t>Q4 2023 Supplemental, AFFO reconciliation. SUBSTITUTION — see FR note (b)</t>
  </si>
  <si>
    <t>FY2023 Form 10-K, Consolidated Statements of Cash Flows (operating)</t>
  </si>
  <si>
    <t>FY2023 Form 10-K, Consolidated Statements of Cash Flows (financing)</t>
  </si>
  <si>
    <t>Q4 2023 Supplemental, Leasing Activity (Twelve Months, Total/Average, Straight-line Basis Rent Growth)</t>
  </si>
  <si>
    <t>Q4 2023 Supplemental, Property Overview (Occupancy Rates - In Service GLA). FR reports occupancy, not % leased</t>
  </si>
  <si>
    <t>Q4 2022 Supplemental, Supplemental Statements of Operations (Total Revenues less Property Expenses)</t>
  </si>
  <si>
    <t>FY2022 Form 10-K, Consolidated Statements of Operations (Interest Expense line)</t>
  </si>
  <si>
    <t>Q4 2022 Supplemental, Equity Analysis (End of Quarter Common Share Price)</t>
  </si>
  <si>
    <t>FY2022 Form 10-K, Note 6 share/unit roll-forward (Balance at Dec 31)</t>
  </si>
  <si>
    <t>FY2022 Form 10-K, Consolidated Balance Sheet (Land). 10-K ONLY</t>
  </si>
  <si>
    <t>FY2022 Form 10-K, Consolidated Balance Sheet (Construction in Progress)</t>
  </si>
  <si>
    <t>FY2022 Form 10-K, Consolidated Balance Sheet (sum of three unsecured lines, net of issuance costs)</t>
  </si>
  <si>
    <t>FY2022 Form 10-K, Consolidated Balance Sheet (Mortgage Loan Payable)</t>
  </si>
  <si>
    <t>Q4 2022 Supplemental, Supplemental Statements of Operations. FR reports no separate Core FFO</t>
  </si>
  <si>
    <t>Q4 2022 Supplemental, AFFO reconciliation. SUBSTITUTION — see FR note (b)</t>
  </si>
  <si>
    <t>FY2022 Form 10-K, Consolidated Statements of Cash Flows (operating)</t>
  </si>
  <si>
    <t>FY2022 Form 10-K, Consolidated Statements of Cash Flows (financing)</t>
  </si>
  <si>
    <t>Q4 2022 Supplemental, Leasing Activity (Twelve Months, Total/Average, Straight-line Basis Rent Growth)</t>
  </si>
  <si>
    <t>Q4 2022 Supplemental, Property Overview (Occupancy Rates - In Service GLA). FR reports occupancy, not % leased</t>
  </si>
  <si>
    <t>Q4 2021 Supplemental, Supplemental Statements of Operations (Total Revenues less Property Expenses)</t>
  </si>
  <si>
    <t>FY2021 Form 10-K, Consolidated Statements of Operations (Interest Expense line)</t>
  </si>
  <si>
    <t>Q4 2021 Supplemental, Equity Analysis (End of Quarter Common Share Price)</t>
  </si>
  <si>
    <t>FY2021 Form 10-K, Note 6 share/unit roll-forward (Balance at Dec 31)</t>
  </si>
  <si>
    <t>FY2021 Form 10-K, Consolidated Balance Sheet (Land). 10-K ONLY</t>
  </si>
  <si>
    <t>FY2021 Form 10-K, Consolidated Balance Sheet (Construction in Progress)</t>
  </si>
  <si>
    <t>FY2021 Form 10-K, Consolidated Balance Sheet (sum of three unsecured lines, net of issuance costs)</t>
  </si>
  <si>
    <t>FY2021 Form 10-K, Consolidated Balance Sheet (Mortgage Loan Payable)</t>
  </si>
  <si>
    <t>Q4 2021 Supplemental, Supplemental Statements of Operations. FR reports no separate Core FFO</t>
  </si>
  <si>
    <t>Q4 2021 Supplemental, AFFO reconciliation. SUBSTITUTION — see FR note (b)</t>
  </si>
  <si>
    <t>FY2021 Form 10-K, Consolidated Statements of Cash Flows (operating)</t>
  </si>
  <si>
    <t>FY2021 Form 10-K, Consolidated Statements of Cash Flows (financing)</t>
  </si>
  <si>
    <t>Q4 2021 Supplemental, Leasing Activity (Twelve Months, Total/Average, Straight-line Basis Rent Growth)</t>
  </si>
  <si>
    <t>Q4 2021 Supplemental, Property Overview (Occupancy Rates - In Service GLA). FR reports occupancy, not % leased</t>
  </si>
  <si>
    <t>Q4 2020 Supplemental, Supplemental Statements of Operations (Total Revenues less Property Expenses)</t>
  </si>
  <si>
    <t>FY2020 Form 10-K, Consolidated Statements of Operations (Interest Expense line)</t>
  </si>
  <si>
    <t>Q4 2020 Supplemental, Equity Analysis (End of Quarter Common Share Price)</t>
  </si>
  <si>
    <t>FY2020 Form 10-K, Note 6 share/unit roll-forward (Balance at Dec 31)</t>
  </si>
  <si>
    <t>FY2020 Form 10-K, Consolidated Balance Sheet (Land). 10-K ONLY</t>
  </si>
  <si>
    <t>FY2020 Form 10-K, Consolidated Balance Sheet (Construction in Progress)</t>
  </si>
  <si>
    <t>FY2020 Form 10-K, Consolidated Balance Sheet (sum of three unsecured lines, net of issuance costs)</t>
  </si>
  <si>
    <t>Loans Payable (secured): Mortgage Loans Payable, net</t>
  </si>
  <si>
    <t>FY2020 Form 10-K, Consolidated Balance Sheet (Mortgage Loans Payable)</t>
  </si>
  <si>
    <t>Q4 2020 Supplemental, Supplemental Statements of Operations. FR reports no separate Core FFO</t>
  </si>
  <si>
    <t>Q4 2020 Supplemental, AFFO reconciliation. SUBSTITUTION — see FR note (b)</t>
  </si>
  <si>
    <t>FY2020 Form 10-K, Consolidated Statements of Cash Flows (operating)</t>
  </si>
  <si>
    <t>FY2020 Form 10-K, Consolidated Statements of Cash Flows (financing)</t>
  </si>
  <si>
    <t>Q4 2020 Supplemental, Leasing Activity (Twelve Months, Total/Average, Straight-line Basis Rent Growth)</t>
  </si>
  <si>
    <t>Q4 2020 Supplemental, Property Overview (Occupancy Rates - In Service GLA). FR reports occupancy, not % leased</t>
  </si>
  <si>
    <t>Q4 2019 Supplemental, Supplemental Statements of Operations (Total Revenues less Property Expenses)</t>
  </si>
  <si>
    <t>FY2019 Form 10-K, Consolidated Statements of Operations (Interest Expense line)</t>
  </si>
  <si>
    <t>Q4 2019 Supplemental, Equity Analysis (End of Quarter Common Share Price)</t>
  </si>
  <si>
    <t>FY2019 Form 10-K, Note 6 share/unit roll-forward (Balance at Dec 31)</t>
  </si>
  <si>
    <t>FY2019 Form 10-K, Consolidated Balance Sheet (Land). 10-K ONLY</t>
  </si>
  <si>
    <t>FY2019 Form 10-K, Consolidated Balance Sheet (Construction in Progress)</t>
  </si>
  <si>
    <t>FY2019 Form 10-K, Consolidated Balance Sheet (sum of three unsecured lines, net of issuance costs)</t>
  </si>
  <si>
    <t>FY2019 Form 10-K, Consolidated Balance Sheet (Mortgage Loans Payable)</t>
  </si>
  <si>
    <t>Q4 2019 Supplemental, Supplemental Statements of Operations. FR reports no separate Core FFO</t>
  </si>
  <si>
    <t>Q4 2019 Supplemental, AFFO reconciliation. SUBSTITUTION — see FR note (b)</t>
  </si>
  <si>
    <t>FY2019 Form 10-K, Consolidated Statements of Cash Flows (operating)</t>
  </si>
  <si>
    <t>FY2019 Form 10-K, Consolidated Statements of Cash Flows (financing)</t>
  </si>
  <si>
    <t>Q4 2019 Supplemental, Leasing Activity (Twelve Months, Total/Average, Straight-line Basis Rent Growth)</t>
  </si>
  <si>
    <t>Q4 2019 Supplemental, Property Overview (Occupancy Rates - In Service GLA). FR reports occupancy, not % leased</t>
  </si>
  <si>
    <t>Q4 2018 Supplemental, Supplemental Statements of Operations (Total Revenues less Property Expenses)</t>
  </si>
  <si>
    <t>FY2018 Form 10-K, Consolidated Statements of Operations (Interest Expense line)</t>
  </si>
  <si>
    <t>Q4 2018 Supplemental, Equity Analysis (End of Quarter Common Share Price)</t>
  </si>
  <si>
    <t>FY2018 Form 10-K, Note 6 share/unit roll-forward (Balance at Dec 31)</t>
  </si>
  <si>
    <t>FY2018 Form 10-K, Consolidated Balance Sheet (Land). 10-K ONLY</t>
  </si>
  <si>
    <t>FY2018 Form 10-K, Consolidated Balance Sheet (Construction in Progress)</t>
  </si>
  <si>
    <t>FY2018 Form 10-K, Consolidated Balance Sheet (sum of three unsecured lines, net of issuance costs)</t>
  </si>
  <si>
    <t>FY2018 Form 10-K, Consolidated Balance Sheet (Mortgage Loans Payable)</t>
  </si>
  <si>
    <t>Q4 2018 Supplemental, Supplemental Statements of Operations. FR reports no separate Core FFO</t>
  </si>
  <si>
    <t>Q4 2018 Supplemental, AFFO reconciliation. SUBSTITUTION — see FR note (b)</t>
  </si>
  <si>
    <t>FY2018 Form 10-K, Consolidated Statements of Cash Flows (operating)</t>
  </si>
  <si>
    <t>FY2018 Form 10-K, Consolidated Statements of Cash Flows (financing)</t>
  </si>
  <si>
    <t>Q4 2018 Supplemental, Leasing Activity (Twelve Months, Total/Average, Straight-line Basis Rent Growth)</t>
  </si>
  <si>
    <t>Q4 2018 Supplemental, Property Overview (Occupancy Rates - In Service GLA). FR reports occupancy, not % leased</t>
  </si>
  <si>
    <t>Q4 2017 Supplemental, Supplemental Statements of Operations (Total Revenues less Property Expenses)</t>
  </si>
  <si>
    <t>FY2017 Form 10-K, Consolidated Statements of Operations (Interest Expense line)</t>
  </si>
  <si>
    <t>Q4 2017 Supplemental, Equity Analysis (End of Quarter Common Share Price)</t>
  </si>
  <si>
    <t>FY2017 Form 10-K, Note 6 share/unit roll-forward (Balance at Dec 31)</t>
  </si>
  <si>
    <t>FY2017 Form 10-K, Consolidated Balance Sheet (Land). 10-K ONLY</t>
  </si>
  <si>
    <t>FY2017 Form 10-K, Consolidated Balance Sheet (Construction in Progress)</t>
  </si>
  <si>
    <t>FY2017 Form 10-K, Consolidated Balance Sheet (sum of three unsecured lines, net of issuance costs)</t>
  </si>
  <si>
    <t>FY2017 Form 10-K, Consolidated Balance Sheet (Mortgage Loans Payable)</t>
  </si>
  <si>
    <t>Q4 2017 Supplemental, Supplemental Statements of Operations. FR reports no separate Core FFO</t>
  </si>
  <si>
    <t>Q4 2017 Supplemental, AFFO reconciliation. SUBSTITUTION — see FR note (b)</t>
  </si>
  <si>
    <t>FY2017 Form 10-K, Consolidated Statements of Cash Flows (operating)</t>
  </si>
  <si>
    <t>FY2017 Form 10-K, Consolidated Statements of Cash Flows (financing)</t>
  </si>
  <si>
    <t>Q4 2017 Supplemental, Leasing Activity (Twelve Months, Total/Average, Straight-line Basis Rent Growth)</t>
  </si>
  <si>
    <t>Q4 2017 Supplemental, Property Overview (Occupancy Rates - In Service GLA). FR reports occupancy, not % leased</t>
  </si>
  <si>
    <t>Q4 2016 Supplemental, Supplemental Statements of Operations (Total Revenues less Property Expenses)</t>
  </si>
  <si>
    <t>FY2016 Form 10-K, Consolidated Statements of Operations (Interest Expense line)</t>
  </si>
  <si>
    <t>Q4 2016 Supplemental, Equity Analysis (End of Quarter Common Share Price)</t>
  </si>
  <si>
    <t>FY2016 Form 10-K, Note 6 share/unit roll-forward (Balance at Dec 31)</t>
  </si>
  <si>
    <t>FY2016 Form 10-K, Consolidated Balance Sheet (Land). 10-K ONLY</t>
  </si>
  <si>
    <t>FY2016 Form 10-K, Consolidated Balance Sheet (Construction in Progress)</t>
  </si>
  <si>
    <t>FY2016 Form 10-K, Consolidated Balance Sheet (sum of three unsecured lines, net of issuance costs)</t>
  </si>
  <si>
    <t>FY2016 Form 10-K, Consolidated Balance Sheet (Mortgage Loans Payable)</t>
  </si>
  <si>
    <t>Q4 2016 Supplemental, Supplemental Statements of Operations. FR reports no separate Core FFO</t>
  </si>
  <si>
    <t>Q4 2016 Supplemental, AFFO reconciliation. SUBSTITUTION — see FR note (b)</t>
  </si>
  <si>
    <t>FY2016 Form 10-K, Consolidated Statements of Cash Flows (operating)</t>
  </si>
  <si>
    <t>FY2016 Form 10-K, Consolidated Statements of Cash Flows (financing)</t>
  </si>
  <si>
    <t>Q4 2016 Supplemental, Leasing Activity (Twelve Months, Total/Average, Straight-line Basis Rent Growth)</t>
  </si>
  <si>
    <t>Q4 2016 Supplemental, Property Overview (Occupancy Rates - In Service GLA). FR reports occupancy, not % leased</t>
  </si>
  <si>
    <t>FR NOTES:</t>
  </si>
  <si>
    <t>(a) File-labeling: in the project files, FIRT_Supplemental_202412.pdf and FIRT_Supplemental_202512.pdf BOTH contain the Q4 2025 (12/31/2025) supplemental. The genuine Q4 2024 supplemental was provided separately. All figures were pulled from content-verified files, not by filename.</t>
  </si>
  <si>
    <t>(b) TI / LC (cols R, S): FR does not report EGP-style "tenant improvements" and "leasing costs" line items. Cols R and S are mapped to FR's AFFO-bridge capital items — Non-incremental Building Improvements (R) and Non-incremental Leasing Costs (S) — the closest direct-source analogs. This is a definitional deviation from EGP and is flagged for user confirmation.</t>
  </si>
  <si>
    <t>(c) Core FFO (col Q): FR reports FFO (NAREIT) only; no separate "Core FFO." Col Q uses FFO (NAREIT), 12-mo, consistent with the EGP convention of substituting FFO.</t>
  </si>
  <si>
    <t>(d) Occupancy vs % leased (col AD): FR reports "Occupancy Rates - In Service GLA" (occupied / in-service GLA), not a separate "% leased." Col AD uses In-Service occupancy; note the definitional difference from a leased-rate metric.</t>
  </si>
  <si>
    <t>(e) WALT (cols AE, AF): computed from each FY 10-K Item 2 scheduled lease-expiration table on the WALT_Calc_FR tab. term (yrs) = expiration year - fiscal year; the terminal "Thereafter" bucket is capped at FY+11. SF-weighted (AE) is primary; rent-weighted (AF) shown for reference. FR also reports a headline Weighted Average Lease Term (7.3 / 7.4 / 7.6 / 7.8 / 7.7 yrs for 2021-2025) computed on full remaining terms; the capped method here yields ~5.0-5.3 yrs, consistent with the EGP WALT_Calc convention.</t>
  </si>
  <si>
    <t>(f) Debt (cols L, M): balance-sheet carrying values, net of unamortized debt issuance costs (ties to the 10-K balance sheet; ~$5-6M below the supplement's issuance-cost-adjusted "Total Debt"). Consistent with the EGP net-debt convention.</t>
  </si>
  <si>
    <t>(g) UPREIT structure: FR has outside OP (Limited Partner) units. Col F = year-end General Partner + Limited Partner units (common + outside units); col G equity value covers common + units; col W includes common dividends + unit distributions but EXCLUDES JV third-party NCI distributions. No preferred stock outstanding in any year.</t>
  </si>
  <si>
    <t>(h) 10-Yr UST (col X): shared macro '10 YR UST' tab, unchanged (2021=1.52, 2022=3.88, 2023=3.88, 2024=4.58, 2025=4.18).</t>
  </si>
  <si>
    <t>(i) FY2020: the FY2020 Form 10-K was not provided (the file set included the FY2015 10-K instead). FY2020 income-statement, balance-sheet, cash-flow and share/unit figures were taken from the FY2021 Form 10-K comparative (2020) columns; FY2020 WALT was computed from the Q4 2020 Supplemental Lease Expiration Schedule (Annualized Net Rent basis). Provide the FY2020 10-K to swap WALT to the 10-K schedule if a like-for-like source is preferred.</t>
  </si>
  <si>
    <t>STAG — all years</t>
  </si>
  <si>
    <t>Preferred Equity (Series C redeemed 2021; $0 at each year-end 2021-2025; also $0 for EGP &amp; FR)</t>
  </si>
  <si>
    <t>STAG Industrial, Inc.</t>
  </si>
  <si>
    <t>FY2021 10-K Balance Sheet (Series C -0- shares at 12/31/2021); FY2022-2025 10-Ks 'none issued or outstanding'</t>
  </si>
  <si>
    <t>STAG 2021-2025</t>
  </si>
  <si>
    <t>Annual NOI (Total revenue less Property expense, reported NOI subtotal)</t>
  </si>
  <si>
    <t>Q4 Supplemental 'Net Operating Income (NOI) &amp; Cash NOI' page (=10-K Statements of Operations)</t>
  </si>
  <si>
    <t>10-K Consolidated Statements of Operations, 'Interest expense'</t>
  </si>
  <si>
    <t>Year-End Share Price (12/31 close, unadjusted) — user-provided market data</t>
  </si>
  <si>
    <t>Market data (external)</t>
  </si>
  <si>
    <t>Year-end NYSE closing prices provided by user (2021 $47.96, 2022 $32.31, 2023 $39.26, 2024 $33.82, 2025 $36.76)</t>
  </si>
  <si>
    <t>Shares Outstanding EOY = common issued &amp; outstanding + OP units</t>
  </si>
  <si>
    <t>10-K Balance Sheet (common) + Q4 Supplemental Capital Structure ('Units outstanding')</t>
  </si>
  <si>
    <t>Land Value</t>
  </si>
  <si>
    <t>10-K real-estate cost detail (Rental Property: Land)</t>
  </si>
  <si>
    <t>Development / Value-Add = Construction in progress</t>
  </si>
  <si>
    <t>10-K Rental Property footnote, 'Construction in progress'</t>
  </si>
  <si>
    <t>Unsecured Debt = credit facility + term loans, net + notes, net</t>
  </si>
  <si>
    <t>10-K Consolidated Balance Sheet (Liabilities)</t>
  </si>
  <si>
    <t>Loans Payable = Mortgage note(s), net</t>
  </si>
  <si>
    <t>Core FFO</t>
  </si>
  <si>
    <t>Q4 Supplemental 'FFO &amp; Core FFO' page, 'Core funds from operations', year-ended</t>
  </si>
  <si>
    <t>CF from Operating Activities</t>
  </si>
  <si>
    <t>10-K Consolidated Statements of Cash Flows</t>
  </si>
  <si>
    <t>Distributions Paid = 'Dividends and distributions' (financing)</t>
  </si>
  <si>
    <t>STAG 2016-2020</t>
  </si>
  <si>
    <t>Annual NOI (reported Net operating income subtotal, year-ended)</t>
  </si>
  <si>
    <t>Q4 Supplemental 'Net Operating Income (NOI) &amp; Cash NOI' page (=10-K Statements of Operations). 2016 201,129; 2017 243,334; 2018 281,972; 2019 330,771; 2020 394,052 ($000)</t>
  </si>
  <si>
    <t>2026-07-09</t>
  </si>
  <si>
    <t>10-K/Supplemental Statements of Operations, 'Interest expense'. 2016 42,923; 2017 42,469; 2018 48,817; 2019 54,647; 2020 62,343</t>
  </si>
  <si>
    <t>Year-End Share Price (12/31 close)</t>
  </si>
  <si>
    <t>FY2016 &amp; FY2017: Q4 Supplemental Capital Structure, close (2016 $23.87; 2017 $27.33). FY2018-FY2020: user-provided year-end NYSE close (2018 $24.88; 2019 $31.57; 2020 $31.32) - not disclosed in STAG supplementals/10-Ks, same as 2021-2025</t>
  </si>
  <si>
    <t>10-K Balance Sheet (common) + Q4 Supplemental Capital Structure ('Units outstanding'). Common: 80,352,304/97,012,543/112,165,786/142,815,593/158,209,823. Units: 3,633,881/4,096,687/4,069,434/3,736,852/3,285,238</t>
  </si>
  <si>
    <t>10-K Rental Property footnote (Land). 2016 272,162; 2017 321,560; 2018 364,023; 2019 435,923; 2020 492,783</t>
  </si>
  <si>
    <t>10-K Rental Property footnote, 'Construction in progress'. 2016 9,298; 2017 2,877; 2018 3,949; 2019 29,406; 2020 18,052 (STAG reports no separate value-add carrying value)</t>
  </si>
  <si>
    <t>10-K/Supplemental Consolidated Balance Sheet (Liabilities), net carrying values</t>
  </si>
  <si>
    <t>Loans Payable = Mortgage notes, net</t>
  </si>
  <si>
    <t>10-K/Supplemental Consolidated Balance Sheet. 2016 163,565; 2017 58,282; 2018 56,560; 2019 54,755; 2020 51,898</t>
  </si>
  <si>
    <t>Preferred Equity (treated as debt) = liquidation preference</t>
  </si>
  <si>
    <t>10-K/Supplemental Balance Sheet. FY2016-2017: Series B $70.0M + Series C $75.0M = $145.0M. FY2018-2020: Series C $75.0M (Series A redeemed 2016; Series B redeemed 2018; Series C redeemed 2021)</t>
  </si>
  <si>
    <t>Q4 Supplemental 'FFO &amp; Core FFO' page, 'Core funds from operations', year-ended. 2016 118,344; 2017 159,265; 2018 194,324; 2019 237,345; 2020 288,715</t>
  </si>
  <si>
    <t>10-K Consolidated Statements of Cash Flows. 2016 135,423; 2017 162,562; 2018 197,769; 2019 233,357; 2020 293,922</t>
  </si>
  <si>
    <t>Distributions Paid = 'Dividends and distributions' (financing; incl. preferred divs for 2016-2020)</t>
  </si>
  <si>
    <t>10-K Consolidated Statements of Cash Flows. 2016 117,441; 2017 141,006; 2018 158,869; 2019 189,581; 2020 224,283</t>
  </si>
  <si>
    <t>TILC = New + Renewal 'TI and lease commissions' combined (S/T left blank; STAG reports TI+LC combined)</t>
  </si>
  <si>
    <t>Q4 Supplemental Capital Expenditures page, year-ended. New+Renewal: 2016 1,893+1,930; 2017 4,763+4,365; 2018 5,355+4,970; 2019 5,351+5,328; 2020 9,375+6,219 ($000). Estimated AFFO (V)=Core FFO-TILC</t>
  </si>
  <si>
    <t>Rental Rate Change, New &amp; Renewal, Straight-Line YTD = SF-weighted blend (STAG reports New &amp; Renewal separately)</t>
  </si>
  <si>
    <t>Q4 Supplemental Leasing &amp; Retention Statistics, year-ended table. Blend=(NewSF*NewSL+RenSF*RenSL)/(NewSF+RenSF). 2016-2017 labeled 'GAAP Rent Change' (=straight-line). Results ~6.9/10.8/15.4/18.5/8.0% for 2016-2020</t>
  </si>
  <si>
    <t>WALT (SF-weighted AF, rent-weighted AG) - computed on WALT_Calc_STAG tab</t>
  </si>
  <si>
    <t>10-K Item 2 'Scheduled Lease Expirations' schedule (SF &amp; Annualized Base Rent by expiration year). Method mirrors EGP WALT_Calc: term=exp yr-fiscal yr; month-to-month=0; 'Thereafter'=FY+11; 'Available' excluded</t>
  </si>
  <si>
    <t>STAG 2016-2025</t>
  </si>
  <si>
    <t>Percentage Leased column = Total Portfolio Occupancy, period-end (STAG reports occupancy, not % leased)</t>
  </si>
  <si>
    <t>Q4 Supplemental 'Snapshot (Dec 31)' highlights, Total/Portfolio Occupancy. 2016 94.7; 2017 95.3; 2018 95.5; 2019 95.0; 2020 96.9; 2021 96.9; 2022 98.5; 2023 98.2; 2024 96.5; 2025 96.4 (%)</t>
  </si>
  <si>
    <t>TILC = New+Renewal 'TI and lease commissions' combined (S/T blank; 2022+ report one combined line)</t>
  </si>
  <si>
    <t>Q4 Supplemental Capital Expenditures page, year-ended. 2021 8,833+9,537=18,370; 2022 26,690; 2023 21,117; 2024 27,158; 2025 31,397 ($000). AFFO(V)=Core FFO-TILC</t>
  </si>
  <si>
    <t>Rental Rate Change, New &amp; Renewal, Straight-Line YTD = SF-weighted blend</t>
  </si>
  <si>
    <t>Q4 Supplemental Leasing &amp; Retention Statistics, year-ended. Blend=(NewSF*NewSL+RenSF*RenSL)/(NewSF+RenSF). ~17.4/24.3/43.6/41.7/38.2% for 2021-2025</t>
  </si>
  <si>
    <t>10-K Item 2 'Scheduled Lease Expirations' schedules. Method mirrors EGP: term=exp yr-fiscal yr; month-to-month=0; 'Thereafter'=FY+11; 'Available' excluded</t>
  </si>
  <si>
    <t>EastGroup Properties (NYSE: EGP): Annualized Financial Model</t>
  </si>
  <si>
    <t>This model represents active property operations on an annualized basis, adjusted to isolate stabilized property yields by deducting non-income-producing development pipeline assets and land holdings.</t>
  </si>
  <si>
    <t>Annual Financial Grid</t>
  </si>
  <si>
    <t>10K</t>
  </si>
  <si>
    <t>CALC</t>
  </si>
  <si>
    <t>SUPP</t>
  </si>
  <si>
    <t>SEE 10 YR UST TAB</t>
  </si>
  <si>
    <t>WALT TAB</t>
  </si>
  <si>
    <t>Fiscal Year</t>
  </si>
  <si>
    <t>Annual NOI ($M)</t>
  </si>
  <si>
    <t>Annual Interest Paid ($M)</t>
  </si>
  <si>
    <t>Leveraged Property Cash Flow ($M)</t>
  </si>
  <si>
    <t>Year-End Share Price ($)</t>
  </si>
  <si>
    <t>SHARES OUTSTANDING (END OF YEAR)</t>
  </si>
  <si>
    <t>Market Cap ($M)</t>
  </si>
  <si>
    <t>LAND VALUE</t>
  </si>
  <si>
    <t>DEVELOPMENT AND VALUE ADD PROPERTIES</t>
  </si>
  <si>
    <t>Dev &amp; Land Value ($M)</t>
  </si>
  <si>
    <t>Stabilized Market Cap ($M)</t>
  </si>
  <si>
    <t>UNSECURED DEBT</t>
  </si>
  <si>
    <t>LOANS PAYABLE</t>
  </si>
  <si>
    <t>PREFERRED EQUITY (TREATED AS DEBT)</t>
  </si>
  <si>
    <t>TOTAL PROPERTY DEBT</t>
  </si>
  <si>
    <t>Total Enterprise Value ($M)</t>
  </si>
  <si>
    <t>Stabilized TEV ($M)</t>
  </si>
  <si>
    <t>Core FFO ($M)</t>
  </si>
  <si>
    <t>TI</t>
  </si>
  <si>
    <t>LC</t>
  </si>
  <si>
    <t>TILC</t>
  </si>
  <si>
    <t>Estimated AFFO ($M)</t>
  </si>
  <si>
    <t>CF PROVIDED BY OPERATING ACTIVITIES</t>
  </si>
  <si>
    <t>DISTRIBUTIONS PAID ($M)</t>
  </si>
  <si>
    <t>10-Yr UST Yield (%)</t>
  </si>
  <si>
    <t>Stabilized Implied Cap Rate (%)</t>
  </si>
  <si>
    <t>Stabilized Leveraged Equity Yield (%)</t>
  </si>
  <si>
    <t>Gross NOI Multiple (x)</t>
  </si>
  <si>
    <t>Leveraged NOI Multiple (x)</t>
  </si>
  <si>
    <t>Rental Rate Change, New &amp; Renewal, Straight-Line YTD (%)</t>
  </si>
  <si>
    <t>Percentage Leased, Period-End 12/31 (%)</t>
  </si>
  <si>
    <t>WALT, SF-Weighted (yrs)</t>
  </si>
  <si>
    <t>WALT, Rent-Weighted (yrs)</t>
  </si>
  <si>
    <t>First Industrial Realty Trust (NYSE: FR): Annualized Financial Model</t>
  </si>
  <si>
    <t>STAG Industrial, Inc. (NYSE: STAG): Annualized Financial Model</t>
  </si>
  <si>
    <t>MAPPING NOTES (all FY2016-FY2025 filled): S (TI) &amp; T (LC) blank - STAG reports TI+LC combined; combined total in U (TILC), V = Core FFO - TILC. AD = SF-weighted blend of STAG's separately-reported New &amp; Renewal straight-line rent change (YTD). AE = Total Portfolio Occupancy at period-end (STAG reports occupancy, not percentage leased). AF/AG computed on WALT_Calc_STAG from the 10-K lease-expiration schedules.</t>
  </si>
  <si>
    <t>WALT Calculation — weighted average (remaining) lease term</t>
  </si>
  <si>
    <t>Source: EastGroup Form 10-K, Item 2. Properties — 'The Company's lease expirations are detailed below' schedule.</t>
  </si>
  <si>
    <t>Method: term (yrs) = expiration year − fiscal year; the terminal '(FY+10) and beyond' bucket is set to FY+10 (i.e., 10 yrs), per the 2035+=2035 convention.</t>
  </si>
  <si>
    <t>WALT = SUMPRODUCT(term, weight) / SUM(weight). SF-weighted uses Total Rentable SF of expiring leases; rent-weighted uses Annualized Base Rent of expiring leases.</t>
  </si>
  <si>
    <t>Expiration Year</t>
  </si>
  <si>
    <t>Term (yrs)</t>
  </si>
  <si>
    <t>SF of expiring leases (000s)</t>
  </si>
  <si>
    <t>Annualized Base Rent of expiring leases ($000s)</t>
  </si>
  <si>
    <t>WALT (SF-weighted, yrs)</t>
  </si>
  <si>
    <t>WALT (rent-weighted, yrs)</t>
  </si>
  <si>
    <t>WALT Calculation (FR) — weighted average (remaining) lease term</t>
  </si>
  <si>
    <t>Source: First Industrial Realty Trust Form 10-K, Item 2. Properties — scheduled lease-expiration table (in-service properties). EXCEPTION: FY2020 uses the Q4 2020 Supplemental Lease Expiration Schedule because the FY2020 10-K was not provided.</t>
  </si>
  <si>
    <t>Method: term (yrs) = expiration year - fiscal year; the terminal 'Thereafter' bucket = FY+11 (one beyond the last explicit year). FR schedules list 10 explicit forward years plus Thereafter.</t>
  </si>
  <si>
    <t>WALT = SUMPRODUCT(term, weight) / SUM(weight). SF-weighted (col H) uses SF of expiring leases; rent-weighted (col I) uses Annualized Base Rent. FR also reports a headline Weighted Average Lease Term computed on full remaining terms, which is higher than this capped-terminal figure (same convention as the EGP WALT_Calc tab).</t>
  </si>
  <si>
    <t>WALT Calculation (STAG) - weighted average remaining lease term</t>
  </si>
  <si>
    <t>Source: STAG Industrial Form 10-K, Item 2. Properties, 'Scheduled Lease Expirations' table (SF and Annualized Base Rent by expiration year).</t>
  </si>
  <si>
    <t>Method (mirrors EGP WALT_Calc): term (yrs) = expiration year - fiscal year. Month-to-month = term 0; the open-ended 'Thereafter' bucket = first year beyond the last explicit year (FY+11), per the '2035+=2035' convention. 'Available' (vacant) space excluded (no lease/rent).</t>
  </si>
  <si>
    <t>WALT = SUMPRODUCT(term, weight) / SUM(weight). SF-weighted uses expiring SF; rent-weighted uses expiring Annualized Base Rent.</t>
  </si>
  <si>
    <t>CRE42 Industrial REIT Composite (EGP, FR, STAG): Annualized Financial Model</t>
  </si>
  <si>
    <t>This model represents active property operations on an annualized basis, adjusted to isolate stabilized property yields by deducting non-income-producing development pipeline assets and land holdings. Figures are a Stabilized-TEV-weighted composite of EastGroup (EGP), First Industrial (FR), and STAG Industrial (STAG); see methodology below.</t>
  </si>
  <si>
    <t>Composite Annual Financial Grid</t>
  </si>
  <si>
    <t>TEV-WTD</t>
  </si>
  <si>
    <t>DERIVED</t>
  </si>
  <si>
    <t>Composite Methodology</t>
  </si>
  <si>
    <t>This tab is a synthetic composite of the EGP, FR, and STAG tabs. It is not a filing of any single company; the direct-source rule does not apply here by design.</t>
  </si>
  <si>
    <t>Every figure drawn from company reports (NOI, interest, land, development, debt, Core FFO, cash flow, distributions, rent-rate change, occupancy, WALT) is a TEV-weighted average across the three REITs, weighted by each REIT’s Stabilized TEV (column Q) for that fiscal year. See the TEV Weights table below.</t>
  </si>
  <si>
    <t>All calculation cells (D, G, J, K, O, P, Q, U, V, Z, AA, AB, AC) keep the identical formulas used on the single-company tabs; only their inputs are composite.</t>
  </si>
  <si>
    <t>Share price (E) is not averaged directly. It is set to composite market cap divided by composite shares (F), where composite market cap is the TEV-weighted average of the three companies’ market caps. Averaging price and share count independently would distort market cap and every figure derived from it, because the three REITs carry very different share prices and share counts.</t>
  </si>
  <si>
    <t>TILC (U) is aggregated at the total leasing-cost level: the TEV-weighted average of each company’s total TI+LC, so STAG’s combined figure is captured. TI (S) and LC (T) are left blank because EGP and FR split them while STAG reports them combined; U drives AFFO (V = R - U).</t>
  </si>
  <si>
    <t>10-Yr UST (Y) is the same year-end FRED DGS10 SUMIF used on every tab; it is a macro rate identical across REITs, so no weighting is applied.</t>
  </si>
  <si>
    <t>Result: the composite reads like a single mid-sized industrial REIT whose every metric is the TEV-weighted blend of the three constituents. The signal columns (Z implied cap rate, AA leveraged equity yield, AB and AC multiples) track the TEV-weighted blend of the three REITs’ own ratios.</t>
  </si>
  <si>
    <t>TEV Weights by Fiscal Year  (weight = each REIT’s Stabilized TEV ÷ combined Stabilized TEV)</t>
  </si>
  <si>
    <t>EGP Stab TEV ($M)</t>
  </si>
  <si>
    <t>FR Stab TEV ($M)</t>
  </si>
  <si>
    <t>STAG Stab TEV ($M)</t>
  </si>
  <si>
    <t>Combined Stab TEV ($M)</t>
  </si>
  <si>
    <t>w(EGP)</t>
  </si>
  <si>
    <t>w(FR)</t>
  </si>
  <si>
    <t>w(STAG)</t>
  </si>
  <si>
    <t>Source Grids: live mirror of EGP, FR, STAG tabs (for QC; values recompute from the source tabs)</t>
  </si>
  <si>
    <t>EGP (source)</t>
  </si>
  <si>
    <t>FR (source)</t>
  </si>
  <si>
    <t>STAG (source)</t>
  </si>
  <si>
    <t>EGP vs. Market: Public-Market Pricing Against Industrial Fundamentals, 2016-2025</t>
  </si>
  <si>
    <t>All cells derived by formula from the EGP, 10 YR UST, Prime Rate, US Industrial, Inflation, and Green Street National tabs. No direct inputs on this tab.</t>
  </si>
  <si>
    <t>EGP Stabilized Implied Cap Rate (%)</t>
  </si>
  <si>
    <t>Spread: Cap Rate less UST (pp)</t>
  </si>
  <si>
    <t>EGP Stabilized Leveraged Equity Yield (%)</t>
  </si>
  <si>
    <t>Leverage Contribution: Lev Yield less Cap Rate (pp)</t>
  </si>
  <si>
    <t>CoStar National Vacancy (%)</t>
  </si>
  <si>
    <t>CoStar Market Asking Rent Growth (%)</t>
  </si>
  <si>
    <t>CoStar Deliveries (% of Inventory)</t>
  </si>
  <si>
    <t>Prime Rate (%)</t>
  </si>
  <si>
    <t>Stabilized TEV less NOI ($M)</t>
  </si>
  <si>
    <t>Stabilized Market Cap less Leveraged Cash Flow ($M)</t>
  </si>
  <si>
    <t>CPI Inflation, YoY (%)</t>
  </si>
  <si>
    <t>Green Street Nominal Cap Rate, 4Q (%)</t>
  </si>
  <si>
    <t>Green Street CPPI (2016 = 100)</t>
  </si>
  <si>
    <t>Construction PPI (2016 = 100)</t>
  </si>
  <si>
    <t>CPI (2016 = 100)</t>
  </si>
  <si>
    <t>CoStar Market Asking Rent (2016 = 100)</t>
  </si>
  <si>
    <t>Green Street Market-RevPAF Growth (%)</t>
  </si>
  <si>
    <t>CoStar Occupancy Change, YoY (pp)</t>
  </si>
  <si>
    <t>CoStar Market Asking Rent ($/SF)</t>
  </si>
  <si>
    <t>CoStar National Occupancy (%)</t>
  </si>
  <si>
    <t>Green Street Market-RevPAF (2016 = 100)</t>
  </si>
  <si>
    <t>NOI YoY Growth (chart label)</t>
  </si>
  <si>
    <t>Leveraged CF YoY Growth (chart label)</t>
  </si>
  <si>
    <t>Metric definitions (in order of appearance)</t>
  </si>
  <si>
    <t>EGP Stabilized Implied Cap Rate (%): Annual NOI divided by stabilized TEV (stabilized TEV is defined below).</t>
  </si>
  <si>
    <t>10-Yr UST Yield (%): 10-year U.S. Treasury constant-maturity yield at fiscal year-end (FRED series DGS10).</t>
  </si>
  <si>
    <t>Spread: Cap Rate less UST (pp): stabilized implied cap rate minus the 10-Yr UST yield, in percentage points.</t>
  </si>
  <si>
    <t>EGP Stabilized Leveraged Equity Yield (%): leveraged property cash flow divided by stabilized market cap (both defined below).</t>
  </si>
  <si>
    <t>Leverage Contribution: Lev Yield less Cap Rate (pp): stabilized leveraged equity yield minus the stabilized implied cap rate, in percentage points.</t>
  </si>
  <si>
    <t>CoStar National Vacancy (%): national industrial vacancy rate, annual. CoStar; proprietary, licensed via MIT CRE.</t>
  </si>
  <si>
    <t>CoStar Market Asking Rent Growth (%): year-over-year national industrial market asking rent growth, annual. CoStar; proprietary, licensed via MIT CRE.</t>
  </si>
  <si>
    <t>CoStar Deliveries (% of Inventory): annual national industrial deliveries divided by total inventory. CoStar; proprietary, licensed via MIT CRE.</t>
  </si>
  <si>
    <t>Gross NOI Multiple (x): CRE42-defined measure. Stabilized TEV divided by Annual NOI; the inverse of the stabilized implied cap rate.</t>
  </si>
  <si>
    <t>Leveraged NOI Multiple (x): CRE42-defined measure. Stabilized market cap divided by leveraged property cash flow; the inverse of the stabilized leveraged equity yield.</t>
  </si>
  <si>
    <t>Annual NOI ($M): EGP property net operating income (PNOI), twelve months, EGP share, as filed.</t>
  </si>
  <si>
    <t>Stabilized TEV ($M): equity market capitalization at the year-end share price, plus total property debt, less development and land value.</t>
  </si>
  <si>
    <t>Leveraged Property Cash Flow ($M): Annual NOI less annual interest paid (net of capitalized), as filed.</t>
  </si>
  <si>
    <t>Stabilized Market Cap ($M): equity market capitalization at the year-end share price, less development and land value.</t>
  </si>
  <si>
    <t>Prime Rate (%): U.S. bank prime loan rate, annual average, not seasonally adjusted (FRED series MPRIME; Board of Governors of the Federal Reserve System). Note: annual average, versus the year-end convention used for the 10-Yr UST.</t>
  </si>
  <si>
    <t>Stabilized TEV less NOI ($M): chart source column; stabilized TEV minus Annual NOI (the upper segment of the stacked bar in the Gross NOI Multiple chart).</t>
  </si>
  <si>
    <t>Stabilized Market Cap less Leveraged Cash Flow ($M): chart source column; stabilized market cap minus leveraged property cash flow (the upper segment of the stacked bar in the Leveraged NOI Multiple chart).</t>
  </si>
  <si>
    <t>FR vs. Market: Public-Market Pricing Against Industrial Fundamentals, 2016-2025</t>
  </si>
  <si>
    <t>All cells derived by formula from the FR, 10 YR UST, Prime Rate, US Industrial, Inflation, and Green Street National tabs. No direct inputs on this tab.</t>
  </si>
  <si>
    <t>FR Stabilized Implied Cap Rate (%)</t>
  </si>
  <si>
    <t>FR Stabilized Leveraged Equity Yield (%)</t>
  </si>
  <si>
    <t>FR Stabilized Implied Cap Rate (%): Annual NOI divided by stabilized TEV (stabilized TEV is defined below).</t>
  </si>
  <si>
    <t>FR Stabilized Leveraged Equity Yield (%): leveraged property cash flow divided by stabilized market cap (both defined below).</t>
  </si>
  <si>
    <t>Annual NOI ($M): FR property net operating income (PNOI), twelve months, FR share, as filed.</t>
  </si>
  <si>
    <t>STAG vs. Market: Public-Market Pricing Against Industrial Fundamentals, 2016-2025</t>
  </si>
  <si>
    <t>All cells derived by formula from the STAG, 10 YR UST, Prime Rate, US Industrial, Inflation, and Green Street National tabs. No direct inputs on this tab.</t>
  </si>
  <si>
    <t>STAG Stabilized Implied Cap Rate (%)</t>
  </si>
  <si>
    <t>STAG Stabilized Leveraged Equity Yield (%)</t>
  </si>
  <si>
    <t>STAG Stabilized Implied Cap Rate (%): Annual NOI divided by stabilized TEV (stabilized TEV is defined below).</t>
  </si>
  <si>
    <t>STAG Stabilized Leveraged Equity Yield (%): leveraged property cash flow divided by stabilized market cap (both defined below).</t>
  </si>
  <si>
    <t>Annual NOI ($M): STAG property net operating income (PNOI), twelve months, STAG share, as filed.</t>
  </si>
  <si>
    <t>Composite vs. Market: Public-Market Pricing Against Industrial Fundamentals, 2016-2025</t>
  </si>
  <si>
    <t>All cells derived by formula from the Composite, 10 YR UST, Prime Rate, US Industrial, Inflation, and Green Street National tabs. No direct inputs on this tab.</t>
  </si>
  <si>
    <t>Composite Stabilized Implied Cap Rate (%)</t>
  </si>
  <si>
    <t>Composite Stabilized Leveraged Equity Yield (%)</t>
  </si>
  <si>
    <t>Composite Stabilized Implied Cap Rate (%): Annual NOI divided by stabilized TEV (stabilized TEV is defined below).</t>
  </si>
  <si>
    <t>Composite Stabilized Leveraged Equity Yield (%): leveraged property cash flow divided by stabilized market cap (both defined below).</t>
  </si>
  <si>
    <t>Annual NOI ($M): Composite property net operating income (PNOI), twelve months, Composite share, as filed.</t>
  </si>
  <si>
    <t>Period</t>
  </si>
  <si>
    <t>Inventory SF</t>
  </si>
  <si>
    <t>Net Delivered SF</t>
  </si>
  <si>
    <t>Construction Starts</t>
  </si>
  <si>
    <t>Net Absorption SF</t>
  </si>
  <si>
    <t>Vacancy Rate</t>
  </si>
  <si>
    <t>Availability Rate</t>
  </si>
  <si>
    <t>Market Asking Rent/SF</t>
  </si>
  <si>
    <t>Market Asking Rent Growth</t>
  </si>
  <si>
    <t>Under Constr SF</t>
  </si>
  <si>
    <t>Under Constr % of Inventory</t>
  </si>
  <si>
    <t>2000</t>
  </si>
  <si>
    <t>-</t>
  </si>
  <si>
    <t>2001</t>
  </si>
  <si>
    <t>2002</t>
  </si>
  <si>
    <t>2003</t>
  </si>
  <si>
    <t>2004</t>
  </si>
  <si>
    <t>2005</t>
  </si>
  <si>
    <t>2006</t>
  </si>
  <si>
    <t>2007</t>
  </si>
  <si>
    <t>2008</t>
  </si>
  <si>
    <t>2009</t>
  </si>
  <si>
    <t>2010</t>
  </si>
  <si>
    <t>2011</t>
  </si>
  <si>
    <t>2012</t>
  </si>
  <si>
    <t>2013</t>
  </si>
  <si>
    <t>2014</t>
  </si>
  <si>
    <t>2015</t>
  </si>
  <si>
    <t>2026 YTD</t>
  </si>
  <si>
    <t>Source: CoStar, March 2026. Copied as values from industrial-national-supply-cycle.xlsx.</t>
  </si>
  <si>
    <t>Green Street Industrial: National (51-Market Weighted Average)</t>
  </si>
  <si>
    <t>Source: Green Street Standardized Downloads, as of May 21, 2026. Proprietary Green Street data.</t>
  </si>
  <si>
    <t>Year</t>
  </si>
  <si>
    <t>Supply Growth (%)</t>
  </si>
  <si>
    <t>Market-RevPAF Growth (%)</t>
  </si>
  <si>
    <t>Nominal Cap Rate, 4Q (%)</t>
  </si>
  <si>
    <t>CPPI, 4Q</t>
  </si>
  <si>
    <t>CPPI (2016 = 100)</t>
  </si>
  <si>
    <t>Period Type</t>
  </si>
  <si>
    <t>Supply Growth, Actual (%)</t>
  </si>
  <si>
    <t>Supply Growth, Green Street Forecast (%)</t>
  </si>
  <si>
    <t>Actual</t>
  </si>
  <si>
    <t>Forecast (Green Street)</t>
  </si>
  <si>
    <t>Supply Growth and Market-RevPAF Growth are annual series; 2026-2030 values are Green Street forecasts.</t>
  </si>
  <si>
    <t>Nominal Cap Rate and CPPI are quarterly series (1Q05-2Q26); annual rows carry 4Q values. The 2026 row carries 2Q26 (as of May 21, 2026), the latest available; these two series have no forecasts.</t>
  </si>
  <si>
    <t>Columns H and I split Supply Growth into actual (through 2025) and Green Street forecast (2026-2030) for charting; empty cells keep the off-period bars off the plot.</t>
  </si>
  <si>
    <t>Weighted Average row of the 51-market Green Street standardized downloads. Full market-level matrices retained in the source files, not in this workbook.</t>
  </si>
  <si>
    <t>Regional Summary</t>
  </si>
  <si>
    <t>Region</t>
  </si>
  <si>
    <t>Markets</t>
  </si>
  <si>
    <t>12-Mo Deliveries SF</t>
  </si>
  <si>
    <t>Under Construction SF</t>
  </si>
  <si>
    <t>UC % of Inv</t>
  </si>
  <si>
    <t>12-Mo Absorption SF</t>
  </si>
  <si>
    <t>Abs/Del Ratio</t>
  </si>
  <si>
    <t>Wtd Avg Vacancy</t>
  </si>
  <si>
    <t>Wtd Avg Rent/SF</t>
  </si>
  <si>
    <t>Wtd Avg Rent Growth</t>
  </si>
  <si>
    <t>Neg Rent Growth Mkts</t>
  </si>
  <si>
    <t>Total Mkts</t>
  </si>
  <si>
    <t>Wtd Avg Sale Price/SF</t>
  </si>
  <si>
    <t>Northeast</t>
  </si>
  <si>
    <t>Midwest</t>
  </si>
  <si>
    <t>South</t>
  </si>
  <si>
    <t>West</t>
  </si>
  <si>
    <t>Source: CoStar, March 2026. Analysis of 75 MSAs with 100M+ SF industrial inventory.</t>
  </si>
  <si>
    <t>Market Detail</t>
  </si>
  <si>
    <t>Market</t>
  </si>
  <si>
    <t>Asking Rent/SF</t>
  </si>
  <si>
    <t>Rent Growth</t>
  </si>
  <si>
    <t>Sale Price/SF</t>
  </si>
  <si>
    <t>Austin - TX USA</t>
  </si>
  <si>
    <t>Richmond - VA USA</t>
  </si>
  <si>
    <t>Washington - DC USA</t>
  </si>
  <si>
    <t>Savannah - GA USA</t>
  </si>
  <si>
    <t>Raleigh - NC USA</t>
  </si>
  <si>
    <t>Reno - NV USA</t>
  </si>
  <si>
    <t>Phoenix - AZ USA</t>
  </si>
  <si>
    <t>Nashville - TN USA</t>
  </si>
  <si>
    <t>Stockton - CA USA</t>
  </si>
  <si>
    <t>Louisville - KY USA</t>
  </si>
  <si>
    <t>Houston - TX USA</t>
  </si>
  <si>
    <t>Columbus - OH USA</t>
  </si>
  <si>
    <t>Dallas-Fort Worth - TX USA</t>
  </si>
  <si>
    <t>Worcester - MA USA</t>
  </si>
  <si>
    <t>Buffalo - NY USA</t>
  </si>
  <si>
    <t>Atlanta - GA USA</t>
  </si>
  <si>
    <t>Omaha - NE USA</t>
  </si>
  <si>
    <t>San Antonio - TX USA</t>
  </si>
  <si>
    <t>Las Vegas - NV USA</t>
  </si>
  <si>
    <t>Charlotte - NC USA</t>
  </si>
  <si>
    <t>Scranton - PA USA</t>
  </si>
  <si>
    <t>Denver - CO USA</t>
  </si>
  <si>
    <t>Des Moines - IA USA</t>
  </si>
  <si>
    <t>Greensboro - NC USA</t>
  </si>
  <si>
    <t>Portland - OR USA</t>
  </si>
  <si>
    <t>Norfolk - VA USA</t>
  </si>
  <si>
    <t>Spartanburg - SC USA</t>
  </si>
  <si>
    <t>San Jose - CA USA</t>
  </si>
  <si>
    <t>Lakewood-New Brunswick - NJ USA</t>
  </si>
  <si>
    <t>Kansas City - MO USA</t>
  </si>
  <si>
    <t>Miami - FL USA</t>
  </si>
  <si>
    <t>Minneapolis - MN USA</t>
  </si>
  <si>
    <t>Chicago - IL USA</t>
  </si>
  <si>
    <t>Orlando - FL USA</t>
  </si>
  <si>
    <t>Lehigh Valley - PA USA</t>
  </si>
  <si>
    <t>Saint Louis - MO USA</t>
  </si>
  <si>
    <t>Inland Empire - CA USA</t>
  </si>
  <si>
    <t>Tampa - FL USA</t>
  </si>
  <si>
    <t>Indianapolis - IN USA</t>
  </si>
  <si>
    <t>Harrisburg - PA USA</t>
  </si>
  <si>
    <t>Dayton - OH USA</t>
  </si>
  <si>
    <t>Fort Lauderdale - FL USA</t>
  </si>
  <si>
    <t>Greenville - SC USA</t>
  </si>
  <si>
    <t>Salt Lake City - UT USA</t>
  </si>
  <si>
    <t>Northern New Jersey - NJ USA</t>
  </si>
  <si>
    <t>Charleston - SC USA</t>
  </si>
  <si>
    <t>Baltimore - MD USA</t>
  </si>
  <si>
    <t>Jacksonville - FL USA</t>
  </si>
  <si>
    <t>Tulsa - OK USA</t>
  </si>
  <si>
    <t>Birmingham - AL USA</t>
  </si>
  <si>
    <t>Philadelphia - PA USA</t>
  </si>
  <si>
    <t>Seattle - WA USA</t>
  </si>
  <si>
    <t>Rochester - NY USA</t>
  </si>
  <si>
    <t>Boston - MA USA</t>
  </si>
  <si>
    <t>Milwaukee - WI USA</t>
  </si>
  <si>
    <t>East Bay - CA USA</t>
  </si>
  <si>
    <t>Providence - RI USA</t>
  </si>
  <si>
    <t>Detroit - MI USA</t>
  </si>
  <si>
    <t>New York - NY USA</t>
  </si>
  <si>
    <t>San Diego - CA USA</t>
  </si>
  <si>
    <t>Long Island - NY USA</t>
  </si>
  <si>
    <t>Winston-Salem - NC USA</t>
  </si>
  <si>
    <t>Sacramento - CA USA</t>
  </si>
  <si>
    <t>San Francisco - CA USA</t>
  </si>
  <si>
    <t>Grand Rapids - MI USA</t>
  </si>
  <si>
    <t>Cincinnati - OH USA</t>
  </si>
  <si>
    <t>Hartford - CT USA</t>
  </si>
  <si>
    <t>Akron - OH USA</t>
  </si>
  <si>
    <t>Pittsburgh - PA USA</t>
  </si>
  <si>
    <t>Oklahoma City - OK USA</t>
  </si>
  <si>
    <t>Los Angeles - CA USA</t>
  </si>
  <si>
    <t>Toledo - OH USA</t>
  </si>
  <si>
    <t>Orange County - CA USA</t>
  </si>
  <si>
    <t>Cleveland - OH USA</t>
  </si>
  <si>
    <t>Memphis - TN USA</t>
  </si>
  <si>
    <t>Inflation: CPI vs. Non-Residential Construction Costs (annual averages)</t>
  </si>
  <si>
    <t>Source: FRED, annual frequency (annual averages), downloaded 2026-07-05. WPU801 = PPI, New Nonresidential Building Construction; CPIAUCSL = CPI, All Urban Consumers.</t>
  </si>
  <si>
    <t>WPU801 (PPI, Nonres Construction)</t>
  </si>
  <si>
    <t>CPIAUCSL (CPI)</t>
  </si>
  <si>
    <t>Construction PPI, YoY (%)</t>
  </si>
  <si>
    <t>Observations are FRED annual-frequency values (annual averages) dated January 1 of each year in the source download.</t>
  </si>
  <si>
    <t>observation_date</t>
  </si>
  <si>
    <t>DGS10</t>
  </si>
  <si>
    <t>MPRIME: Bank Prime Loan Rate (%, annual, NSA)</t>
  </si>
  <si>
    <t>Source: FRED series MPRIME, Board of Governors of the Federal Reserve System (US); annual, not seasonally adjusted; downloaded 2026-07-04.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</si>
</sst>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x"/>
    <numFmt numFmtId="165" formatCode="0.0%"/>
    <numFmt numFmtId="166" formatCode="0.0"/>
    <numFmt numFmtId="167" formatCode="\$0.00"/>
    <numFmt numFmtId="168" formatCode="#,##0.0%_);[Red]\-#,##0.0%"/>
    <numFmt numFmtId="169" formatCode="\$#,##0.00"/>
    <numFmt numFmtId="170" formatCode="\+0.0%;\-0.0%"/>
    <numFmt numFmtId="171" formatCode="\$#,##0"/>
    <numFmt numFmtId="172" formatCode="0.000"/>
  </numFmts>
  <fonts count="23" x14ac:knownFonts="1">
    <font>
      <sz val="11"/>
      <color theme="1"/>
      <name val="Calibri"/>
      <family val="2"/>
      <charset val="1"/>
    </font>
    <font>
      <sz val="10"/>
      <name val="Arial"/>
      <family val="2"/>
    </font>
    <font>
      <b/>
      <sz val="11"/>
      <name val="Calibri"/>
      <family val="2"/>
      <charset val="1"/>
    </font>
    <font>
      <sz val="11"/>
      <name val="Calibri"/>
      <family val="2"/>
      <charset val="1"/>
    </font>
    <font>
      <b/>
      <sz val="24"/>
      <color theme="1"/>
      <name val="Calibri"/>
      <family val="2"/>
      <charset val="1"/>
    </font>
    <font>
      <b/>
      <sz val="13.5"/>
      <color theme="1"/>
      <name val="Calibri"/>
      <family val="2"/>
      <charset val="1"/>
    </font>
    <font>
      <i/>
      <sz val="11"/>
      <color theme="1"/>
      <name val="Calibri"/>
      <family val="2"/>
      <charset val="1"/>
    </font>
    <font>
      <b/>
      <sz val="24"/>
      <name val="Cambria"/>
      <family val="1"/>
      <charset val="1"/>
    </font>
    <font>
      <sz val="11"/>
      <name val="Cambria"/>
      <family val="1"/>
      <charset val="1"/>
    </font>
    <font>
      <b/>
      <sz val="13.5"/>
      <name val="Cambria"/>
      <family val="1"/>
      <charset val="1"/>
    </font>
    <font>
      <i/>
      <sz val="9"/>
      <name val="Cambria"/>
      <family val="1"/>
      <charset val="1"/>
    </font>
    <font>
      <b/>
      <sz val="11"/>
      <name val="Cambria"/>
      <family val="1"/>
      <charset val="1"/>
    </font>
    <font>
      <b/>
      <sz val="12"/>
      <name val="Cambria"/>
      <family val="1"/>
      <charset val="1"/>
    </font>
    <font>
      <sz val="10"/>
      <name val="Cambria"/>
      <family val="1"/>
      <charset val="1"/>
    </font>
    <font>
      <b/>
      <sz val="10"/>
      <name val="Cambria"/>
      <family val="1"/>
      <charset val="1"/>
    </font>
    <font>
      <b/>
      <sz val="12"/>
      <name val="Calibri"/>
      <family val="2"/>
      <charset val="1"/>
    </font>
    <font>
      <i/>
      <sz val="9"/>
      <name val="Calibri"/>
      <family val="2"/>
      <charset val="1"/>
    </font>
    <font>
      <b/>
      <sz val="11"/>
      <name val="Calibri"/>
      <family val="2"/>
    </font>
    <font>
      <sz val="11"/>
      <color rgb="FF008000"/>
      <name val="Calibri"/>
      <family val="2"/>
      <charset val="1"/>
    </font>
    <font>
      <sz val="11"/>
      <color rgb="FF000000"/>
      <name val="Calibri"/>
      <family val="2"/>
      <charset val="1"/>
    </font>
    <font>
      <sz val="11"/>
      <name val="Calibri"/>
      <family val="2"/>
    </font>
    <font>
      <b/>
      <sz val="11"/>
      <color theme="1"/>
      <name val="Calibri"/>
      <family val="2"/>
      <charset val="1"/>
    </font>
    <font>
      <sz val="11"/>
      <color theme="1"/>
      <name val="Calibri"/>
      <family val="2"/>
      <charset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22" fillId="0" borderId="0"/>
  </cellStyleXfs>
  <cellXfs count="51">
    <xf numFmtId="0" fontId="0" fillId="0" borderId="0" xfId="0"/>
    <xf numFmtId="0" fontId="2" fillId="0" borderId="0" xfId="0" applyFont="1"/>
    <xf numFmtId="0" fontId="3" fillId="0" borderId="0" xfId="0" applyFont="1"/>
    <xf numFmtId="0" fontId="4" fillId="0" borderId="0" xfId="0" applyFont="1" applyAlignment="1">
      <alignment vertical="center"/>
    </xf>
    <xf numFmtId="0" fontId="5" fillId="0" borderId="0" xfId="0" applyFont="1" applyAlignment="1">
      <alignment vertical="center"/>
    </xf>
    <xf numFmtId="3" fontId="0" fillId="0" borderId="0" xfId="0" applyNumberFormat="1"/>
    <xf numFmtId="0" fontId="2" fillId="0" borderId="0" xfId="0" applyFont="1" applyAlignment="1">
      <alignment horizontal="center" vertical="center" wrapText="1"/>
    </xf>
    <xf numFmtId="0" fontId="2" fillId="0" borderId="0" xfId="0" applyFont="1" applyAlignment="1">
      <alignment vertical="center" wrapText="1"/>
    </xf>
    <xf numFmtId="4" fontId="3" fillId="0" borderId="0" xfId="0" applyNumberFormat="1" applyFont="1" applyAlignment="1">
      <alignment vertical="center" wrapText="1"/>
    </xf>
    <xf numFmtId="0" fontId="3" fillId="0" borderId="0" xfId="0" applyFont="1" applyAlignment="1">
      <alignment vertical="center" wrapText="1"/>
    </xf>
    <xf numFmtId="10" fontId="3" fillId="0" borderId="0" xfId="0" applyNumberFormat="1" applyFont="1" applyAlignment="1">
      <alignment vertical="center" wrapText="1"/>
    </xf>
    <xf numFmtId="164" fontId="3" fillId="0" borderId="0" xfId="0" applyNumberFormat="1" applyFont="1" applyAlignment="1">
      <alignment vertical="center" wrapText="1"/>
    </xf>
    <xf numFmtId="2" fontId="3" fillId="0" borderId="0" xfId="0" applyNumberFormat="1" applyFont="1" applyAlignment="1">
      <alignment vertical="center" wrapText="1"/>
    </xf>
    <xf numFmtId="0" fontId="6" fillId="0" borderId="0" xfId="0" applyFont="1"/>
    <xf numFmtId="0" fontId="2" fillId="0" borderId="0" xfId="0" applyFont="1" applyAlignment="1">
      <alignment wrapText="1"/>
    </xf>
    <xf numFmtId="3" fontId="3" fillId="0" borderId="0" xfId="0" applyNumberFormat="1" applyFont="1"/>
    <xf numFmtId="2" fontId="3" fillId="0" borderId="0" xfId="0" applyNumberFormat="1" applyFont="1"/>
    <xf numFmtId="0" fontId="7" fillId="0" borderId="0" xfId="0" applyFont="1"/>
    <xf numFmtId="0" fontId="8" fillId="0" borderId="0" xfId="0" applyFont="1"/>
    <xf numFmtId="0" fontId="9" fillId="0" borderId="0" xfId="0" applyFont="1"/>
    <xf numFmtId="0" fontId="10" fillId="0" borderId="0" xfId="0" applyFont="1" applyAlignment="1">
      <alignment horizontal="center"/>
    </xf>
    <xf numFmtId="0" fontId="11" fillId="0" borderId="0" xfId="0" applyFont="1" applyAlignment="1">
      <alignment horizontal="center" wrapText="1"/>
    </xf>
    <xf numFmtId="0" fontId="11" fillId="0" borderId="0" xfId="0" applyFont="1"/>
    <xf numFmtId="4" fontId="0" fillId="0" borderId="0" xfId="0" applyNumberFormat="1"/>
    <xf numFmtId="10" fontId="0" fillId="0" borderId="0" xfId="0" applyNumberFormat="1"/>
    <xf numFmtId="164" fontId="0" fillId="0" borderId="0" xfId="0" applyNumberFormat="1"/>
    <xf numFmtId="2" fontId="0" fillId="0" borderId="0" xfId="0" applyNumberFormat="1"/>
    <xf numFmtId="0" fontId="12" fillId="0" borderId="0" xfId="0" applyFont="1"/>
    <xf numFmtId="0" fontId="13" fillId="0" borderId="0" xfId="0" applyFont="1"/>
    <xf numFmtId="0" fontId="14" fillId="0" borderId="0" xfId="0" applyFont="1" applyAlignment="1">
      <alignment horizontal="center" wrapText="1"/>
    </xf>
    <xf numFmtId="0" fontId="14" fillId="0" borderId="0" xfId="0" applyFont="1"/>
    <xf numFmtId="165" fontId="0" fillId="0" borderId="0" xfId="0" applyNumberFormat="1"/>
    <xf numFmtId="0" fontId="15" fillId="0" borderId="0" xfId="0" applyFont="1"/>
    <xf numFmtId="0" fontId="16" fillId="0" borderId="0" xfId="0" applyFont="1"/>
    <xf numFmtId="0" fontId="17" fillId="0" borderId="0" xfId="0" applyFont="1" applyAlignment="1">
      <alignment horizontal="center" wrapText="1"/>
    </xf>
    <xf numFmtId="10" fontId="18" fillId="0" borderId="0" xfId="0" applyNumberFormat="1" applyFont="1"/>
    <xf numFmtId="10" fontId="19" fillId="0" borderId="0" xfId="0" applyNumberFormat="1" applyFont="1"/>
    <xf numFmtId="166" fontId="0" fillId="0" borderId="0" xfId="0" applyNumberFormat="1"/>
    <xf numFmtId="167" fontId="0" fillId="0" borderId="0" xfId="0" applyNumberFormat="1"/>
    <xf numFmtId="0" fontId="20" fillId="0" borderId="0" xfId="0" applyFont="1" applyAlignment="1">
      <alignment horizontal="center"/>
    </xf>
    <xf numFmtId="9" fontId="22" fillId="0" borderId="0" xfId="1"/>
    <xf numFmtId="165" fontId="22" fillId="0" borderId="0" xfId="1" applyNumberFormat="1"/>
    <xf numFmtId="168" fontId="0" fillId="0" borderId="0" xfId="0" applyNumberFormat="1"/>
    <xf numFmtId="169" fontId="0" fillId="0" borderId="0" xfId="0" applyNumberFormat="1"/>
    <xf numFmtId="170" fontId="0" fillId="0" borderId="0" xfId="0" applyNumberFormat="1"/>
    <xf numFmtId="171" fontId="0" fillId="0" borderId="0" xfId="0" applyNumberFormat="1"/>
    <xf numFmtId="0" fontId="11" fillId="0" borderId="0" xfId="0" applyFont="1" applyAlignment="1">
      <alignment wrapText="1"/>
    </xf>
    <xf numFmtId="0" fontId="0" fillId="0" borderId="0" xfId="0" applyAlignment="1">
      <alignment wrapText="1"/>
    </xf>
    <xf numFmtId="172" fontId="0" fillId="0" borderId="0" xfId="0" applyNumberFormat="1"/>
    <xf numFmtId="0" fontId="21" fillId="0" borderId="1" xfId="0" applyFont="1" applyBorder="1" applyAlignment="1">
      <alignment horizontal="center" vertical="top"/>
    </xf>
    <xf numFmtId="1" fontId="0" fillId="0" borderId="0" xfId="0" applyNumberFormat="1"/>
  </cellXfs>
  <cellStyles count="2">
    <cellStyle name="Normal" xfId="0" builtinId="0"/>
    <cellStyle name="Percent"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C08A00"/>
      <rgbColor rgb="FF800080"/>
      <rgbColor rgb="FF008080"/>
      <rgbColor rgb="FFB3B3B3"/>
      <rgbColor rgb="FF8A8A8A"/>
      <rgbColor rgb="FF9DBB9D"/>
      <rgbColor rgb="FFA31F34"/>
      <rgbColor rgb="FFFFFFCC"/>
      <rgbColor rgb="FFCCFFFF"/>
      <rgbColor rgb="FF660066"/>
      <rgbColor rgb="FFB87B85"/>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A9BCD1"/>
      <rgbColor rgb="FFD9A0A8"/>
      <rgbColor rgb="FFCC99FF"/>
      <rgbColor rgb="FFFFCC99"/>
      <rgbColor rgb="FF3366FF"/>
      <rgbColor rgb="FF33CCCC"/>
      <rgbColor rgb="FF99CC00"/>
      <rgbColor rgb="FFFFCC00"/>
      <rgbColor rgb="FFFF9900"/>
      <rgbColor rgb="FFFF6600"/>
      <rgbColor rgb="FF666699"/>
      <rgbColor rgb="FF7A9A7A"/>
      <rgbColor rgb="FF1F3B57"/>
      <rgbColor rgb="FF339966"/>
      <rgbColor rgb="FF003300"/>
      <rgbColor rgb="FF333300"/>
      <rgbColor rgb="FF993300"/>
      <rgbColor rgb="FF993366"/>
      <rgbColor rgb="FF333399"/>
      <rgbColor rgb="FF3A3A3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Operating Fundamentals: CoStar Market Asking Rent ($/SF)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($/SF)</c:v>
          </c:tx>
          <c:spPr>
            <a:ln w="28440">
              <a:solidFill>
                <a:srgbClr val="1F3B57"/>
              </a:solidFill>
              <a:round/>
            </a:ln>
          </c:spPr>
          <c:marker>
            <c:symbol val="circle"/>
            <c:size val="5"/>
            <c:spPr>
              <a:solidFill>
                <a:srgbClr val="1F3B57"/>
              </a:solidFill>
            </c:spPr>
          </c:marker>
          <c:dPt>
            <c:idx val="0"/>
            <c:bubble3D val="0"/>
            <c:extLst>
              <c:ext xmlns:c16="http://schemas.microsoft.com/office/drawing/2014/chart" uri="{C3380CC4-5D6E-409C-BE32-E72D297353CC}">
                <c16:uniqueId val="{00000000-995E-4F10-B523-7C1FEF70F477}"/>
              </c:ext>
            </c:extLst>
          </c:dPt>
          <c:dPt>
            <c:idx val="1"/>
            <c:bubble3D val="0"/>
            <c:extLst>
              <c:ext xmlns:c16="http://schemas.microsoft.com/office/drawing/2014/chart" uri="{C3380CC4-5D6E-409C-BE32-E72D297353CC}">
                <c16:uniqueId val="{00000001-995E-4F10-B523-7C1FEF70F477}"/>
              </c:ext>
            </c:extLst>
          </c:dPt>
          <c:dPt>
            <c:idx val="2"/>
            <c:bubble3D val="0"/>
            <c:extLst>
              <c:ext xmlns:c16="http://schemas.microsoft.com/office/drawing/2014/chart" uri="{C3380CC4-5D6E-409C-BE32-E72D297353CC}">
                <c16:uniqueId val="{00000002-995E-4F10-B523-7C1FEF70F477}"/>
              </c:ext>
            </c:extLst>
          </c:dPt>
          <c:dPt>
            <c:idx val="3"/>
            <c:bubble3D val="0"/>
            <c:extLst>
              <c:ext xmlns:c16="http://schemas.microsoft.com/office/drawing/2014/chart" uri="{C3380CC4-5D6E-409C-BE32-E72D297353CC}">
                <c16:uniqueId val="{00000003-995E-4F10-B523-7C1FEF70F477}"/>
              </c:ext>
            </c:extLst>
          </c:dPt>
          <c:dPt>
            <c:idx val="4"/>
            <c:bubble3D val="0"/>
            <c:extLst>
              <c:ext xmlns:c16="http://schemas.microsoft.com/office/drawing/2014/chart" uri="{C3380CC4-5D6E-409C-BE32-E72D297353CC}">
                <c16:uniqueId val="{00000004-995E-4F10-B523-7C1FEF70F477}"/>
              </c:ext>
            </c:extLst>
          </c:dPt>
          <c:dPt>
            <c:idx val="5"/>
            <c:bubble3D val="0"/>
            <c:extLst>
              <c:ext xmlns:c16="http://schemas.microsoft.com/office/drawing/2014/chart" uri="{C3380CC4-5D6E-409C-BE32-E72D297353CC}">
                <c16:uniqueId val="{00000005-995E-4F10-B523-7C1FEF70F477}"/>
              </c:ext>
            </c:extLst>
          </c:dPt>
          <c:dPt>
            <c:idx val="6"/>
            <c:bubble3D val="0"/>
            <c:extLst>
              <c:ext xmlns:c16="http://schemas.microsoft.com/office/drawing/2014/chart" uri="{C3380CC4-5D6E-409C-BE32-E72D297353CC}">
                <c16:uniqueId val="{00000006-995E-4F10-B523-7C1FEF70F477}"/>
              </c:ext>
            </c:extLst>
          </c:dPt>
          <c:dPt>
            <c:idx val="7"/>
            <c:bubble3D val="0"/>
            <c:extLst>
              <c:ext xmlns:c16="http://schemas.microsoft.com/office/drawing/2014/chart" uri="{C3380CC4-5D6E-409C-BE32-E72D297353CC}">
                <c16:uniqueId val="{00000007-995E-4F10-B523-7C1FEF70F477}"/>
              </c:ext>
            </c:extLst>
          </c:dPt>
          <c:dPt>
            <c:idx val="8"/>
            <c:bubble3D val="0"/>
            <c:extLst>
              <c:ext xmlns:c16="http://schemas.microsoft.com/office/drawing/2014/chart" uri="{C3380CC4-5D6E-409C-BE32-E72D297353CC}">
                <c16:uniqueId val="{00000008-995E-4F10-B523-7C1FEF70F477}"/>
              </c:ext>
            </c:extLst>
          </c:dPt>
          <c:dPt>
            <c:idx val="9"/>
            <c:bubble3D val="0"/>
            <c:extLst>
              <c:ext xmlns:c16="http://schemas.microsoft.com/office/drawing/2014/chart" uri="{C3380CC4-5D6E-409C-BE32-E72D297353CC}">
                <c16:uniqueId val="{00000009-995E-4F10-B523-7C1FEF70F477}"/>
              </c:ext>
            </c:extLst>
          </c:dPt>
          <c:dLbls>
            <c:dLbl>
              <c:idx val="0"/>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0-995E-4F10-B523-7C1FEF70F477}"/>
                </c:ext>
              </c:extLst>
            </c:dLbl>
            <c:dLbl>
              <c:idx val="1"/>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1-995E-4F10-B523-7C1FEF70F477}"/>
                </c:ext>
              </c:extLst>
            </c:dLbl>
            <c:dLbl>
              <c:idx val="2"/>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2-995E-4F10-B523-7C1FEF70F477}"/>
                </c:ext>
              </c:extLst>
            </c:dLbl>
            <c:dLbl>
              <c:idx val="3"/>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3-995E-4F10-B523-7C1FEF70F477}"/>
                </c:ext>
              </c:extLst>
            </c:dLbl>
            <c:dLbl>
              <c:idx val="4"/>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4-995E-4F10-B523-7C1FEF70F477}"/>
                </c:ext>
              </c:extLst>
            </c:dLbl>
            <c:dLbl>
              <c:idx val="5"/>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5-995E-4F10-B523-7C1FEF70F477}"/>
                </c:ext>
              </c:extLst>
            </c:dLbl>
            <c:dLbl>
              <c:idx val="6"/>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6-995E-4F10-B523-7C1FEF70F477}"/>
                </c:ext>
              </c:extLst>
            </c:dLbl>
            <c:dLbl>
              <c:idx val="7"/>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7-995E-4F10-B523-7C1FEF70F477}"/>
                </c:ext>
              </c:extLst>
            </c:dLbl>
            <c:dLbl>
              <c:idx val="8"/>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8-995E-4F10-B523-7C1FEF70F477}"/>
                </c:ext>
              </c:extLst>
            </c:dLbl>
            <c:dLbl>
              <c:idx val="9"/>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9-995E-4F10-B523-7C1FEF70F477}"/>
                </c:ext>
              </c:extLst>
            </c:dLbl>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Market'!$AA$4:$AA$13</c:f>
              <c:numCache>
                <c:formatCode>\$0.00</c:formatCode>
                <c:ptCount val="10"/>
                <c:pt idx="0">
                  <c:v>7.2084040180553197</c:v>
                </c:pt>
                <c:pt idx="1">
                  <c:v>7.6207957627302196</c:v>
                </c:pt>
                <c:pt idx="2">
                  <c:v>8.0585030051050701</c:v>
                </c:pt>
                <c:pt idx="3">
                  <c:v>8.5157481665742498</c:v>
                </c:pt>
                <c:pt idx="4">
                  <c:v>9.0124778657559901</c:v>
                </c:pt>
                <c:pt idx="5">
                  <c:v>9.7576253176282304</c:v>
                </c:pt>
                <c:pt idx="6">
                  <c:v>10.7360950922091</c:v>
                </c:pt>
                <c:pt idx="7">
                  <c:v>11.501830778377499</c:v>
                </c:pt>
                <c:pt idx="8">
                  <c:v>11.911794844842101</c:v>
                </c:pt>
                <c:pt idx="9">
                  <c:v>12.1462063713302</c:v>
                </c:pt>
              </c:numCache>
            </c:numRef>
          </c:yVal>
          <c:smooth val="0"/>
          <c:extLst>
            <c:ext xmlns:c16="http://schemas.microsoft.com/office/drawing/2014/chart" uri="{C3380CC4-5D6E-409C-BE32-E72D297353CC}">
              <c16:uniqueId val="{0000000A-995E-4F10-B523-7C1FEF70F477}"/>
            </c:ext>
          </c:extLst>
        </c:ser>
        <c:dLbls>
          <c:showLegendKey val="0"/>
          <c:showVal val="0"/>
          <c:showCatName val="0"/>
          <c:showSerName val="0"/>
          <c:showPercent val="0"/>
          <c:showBubbleSize val="0"/>
        </c:dLbls>
        <c:axId val="27605727"/>
        <c:axId val="726563"/>
      </c:scatterChart>
      <c:valAx>
        <c:axId val="27605727"/>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726563"/>
        <c:crosses val="autoZero"/>
        <c:crossBetween val="midCat"/>
        <c:majorUnit val="1"/>
      </c:valAx>
      <c:valAx>
        <c:axId val="726563"/>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7605727"/>
        <c:crosses val="autoZero"/>
        <c:crossBetween val="midCat"/>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Market Asking Rent and Occupancy (2016-2025)
Left axis: CoStar market asking rent, $/SF. Right axis: occupancy (100% less vacancy).</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($/SF, left)</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Market'!$AA$4:$AA$13</c:f>
              <c:numCache>
                <c:formatCode>\$0.00</c:formatCode>
                <c:ptCount val="10"/>
                <c:pt idx="0">
                  <c:v>7.2084040180553197</c:v>
                </c:pt>
                <c:pt idx="1">
                  <c:v>7.6207957627302196</c:v>
                </c:pt>
                <c:pt idx="2">
                  <c:v>8.0585030051050701</c:v>
                </c:pt>
                <c:pt idx="3">
                  <c:v>8.5157481665742498</c:v>
                </c:pt>
                <c:pt idx="4">
                  <c:v>9.0124778657559901</c:v>
                </c:pt>
                <c:pt idx="5">
                  <c:v>9.7576253176282304</c:v>
                </c:pt>
                <c:pt idx="6">
                  <c:v>10.7360950922091</c:v>
                </c:pt>
                <c:pt idx="7">
                  <c:v>11.501830778377499</c:v>
                </c:pt>
                <c:pt idx="8">
                  <c:v>11.911794844842101</c:v>
                </c:pt>
                <c:pt idx="9">
                  <c:v>12.1462063713302</c:v>
                </c:pt>
              </c:numCache>
            </c:numRef>
          </c:yVal>
          <c:smooth val="0"/>
          <c:extLst>
            <c:ext xmlns:c16="http://schemas.microsoft.com/office/drawing/2014/chart" uri="{C3380CC4-5D6E-409C-BE32-E72D297353CC}">
              <c16:uniqueId val="{00000000-FAD5-4176-9AA6-43EE6AF2F598}"/>
            </c:ext>
          </c:extLst>
        </c:ser>
        <c:dLbls>
          <c:showLegendKey val="0"/>
          <c:showVal val="0"/>
          <c:showCatName val="0"/>
          <c:showSerName val="0"/>
          <c:showPercent val="0"/>
          <c:showBubbleSize val="0"/>
        </c:dLbls>
        <c:axId val="3935202"/>
        <c:axId val="16779878"/>
      </c:scatterChart>
      <c:scatterChart>
        <c:scatterStyle val="lineMarker"/>
        <c:varyColors val="0"/>
        <c:ser>
          <c:idx val="1"/>
          <c:order val="1"/>
          <c:tx>
            <c:v>CoStar National Occupancy (right)</c:v>
          </c:tx>
          <c:spPr>
            <a:ln w="28440">
              <a:solidFill>
                <a:srgbClr val="8A8A8A"/>
              </a:solidFill>
              <a:prstDash val="dash"/>
              <a:round/>
            </a:ln>
          </c:spPr>
          <c:marker>
            <c:symbol val="diamond"/>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Market'!$AB$4:$AB$13</c:f>
              <c:numCache>
                <c:formatCode>0.0%</c:formatCode>
                <c:ptCount val="10"/>
                <c:pt idx="0">
                  <c:v>0.94774606694073227</c:v>
                </c:pt>
                <c:pt idx="1">
                  <c:v>0.95035022562934757</c:v>
                </c:pt>
                <c:pt idx="2">
                  <c:v>0.95323320884798135</c:v>
                </c:pt>
                <c:pt idx="3">
                  <c:v>0.94926756615409602</c:v>
                </c:pt>
                <c:pt idx="4">
                  <c:v>0.94546317580134676</c:v>
                </c:pt>
                <c:pt idx="5">
                  <c:v>0.95862050110610841</c:v>
                </c:pt>
                <c:pt idx="6">
                  <c:v>0.96099685761421394</c:v>
                </c:pt>
                <c:pt idx="7">
                  <c:v>0.94347826068344176</c:v>
                </c:pt>
                <c:pt idx="8">
                  <c:v>0.93190964730657366</c:v>
                </c:pt>
                <c:pt idx="9">
                  <c:v>0.92538748823502981</c:v>
                </c:pt>
              </c:numCache>
            </c:numRef>
          </c:yVal>
          <c:smooth val="0"/>
          <c:extLst>
            <c:ext xmlns:c16="http://schemas.microsoft.com/office/drawing/2014/chart" uri="{C3380CC4-5D6E-409C-BE32-E72D297353CC}">
              <c16:uniqueId val="{00000001-FAD5-4176-9AA6-43EE6AF2F598}"/>
            </c:ext>
          </c:extLst>
        </c:ser>
        <c:dLbls>
          <c:showLegendKey val="0"/>
          <c:showVal val="0"/>
          <c:showCatName val="0"/>
          <c:showSerName val="0"/>
          <c:showPercent val="0"/>
          <c:showBubbleSize val="0"/>
        </c:dLbls>
        <c:axId val="75051004"/>
        <c:axId val="88797202"/>
      </c:scatterChart>
      <c:valAx>
        <c:axId val="3935202"/>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16779878"/>
        <c:crosses val="autoZero"/>
        <c:crossBetween val="midCat"/>
        <c:majorUnit val="1"/>
      </c:valAx>
      <c:valAx>
        <c:axId val="16779878"/>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3935202"/>
        <c:crosses val="autoZero"/>
        <c:crossBetween val="midCat"/>
      </c:valAx>
      <c:valAx>
        <c:axId val="75051004"/>
        <c:scaling>
          <c:orientation val="minMax"/>
        </c:scaling>
        <c:delete val="1"/>
        <c:axPos val="b"/>
        <c:numFmt formatCode="General" sourceLinked="1"/>
        <c:majorTickMark val="none"/>
        <c:minorTickMark val="none"/>
        <c:tickLblPos val="nextTo"/>
        <c:crossAx val="88797202"/>
        <c:crosses val="autoZero"/>
        <c:crossBetween val="midCat"/>
        <c:majorUnit val="1"/>
      </c:valAx>
      <c:valAx>
        <c:axId val="88797202"/>
        <c:scaling>
          <c:orientation val="minMax"/>
        </c:scaling>
        <c:delete val="0"/>
        <c:axPos val="r"/>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5051004"/>
        <c:crosses val="max"/>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(2016 = 100)</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Market'!$X$4:$X$13</c:f>
              <c:numCache>
                <c:formatCode>0.0</c:formatCode>
                <c:ptCount val="10"/>
                <c:pt idx="0">
                  <c:v>100</c:v>
                </c:pt>
                <c:pt idx="1">
                  <c:v>105.72098544479414</c:v>
                </c:pt>
                <c:pt idx="2">
                  <c:v>111.79316510174037</c:v>
                </c:pt>
                <c:pt idx="3">
                  <c:v>118.13638837729331</c:v>
                </c:pt>
                <c:pt idx="4">
                  <c:v>125.02736865444692</c:v>
                </c:pt>
                <c:pt idx="5">
                  <c:v>135.36457297881367</c:v>
                </c:pt>
                <c:pt idx="6">
                  <c:v>148.93858703421395</c:v>
                </c:pt>
                <c:pt idx="7">
                  <c:v>159.56140568103808</c:v>
                </c:pt>
                <c:pt idx="8">
                  <c:v>165.24871268322249</c:v>
                </c:pt>
                <c:pt idx="9">
                  <c:v>168.50063260753521</c:v>
                </c:pt>
              </c:numCache>
            </c:numRef>
          </c:yVal>
          <c:smooth val="0"/>
          <c:extLst>
            <c:ext xmlns:c16="http://schemas.microsoft.com/office/drawing/2014/chart" uri="{C3380CC4-5D6E-409C-BE32-E72D297353CC}">
              <c16:uniqueId val="{00000000-DFD1-4D49-B17E-40AD94756656}"/>
            </c:ext>
          </c:extLst>
        </c:ser>
        <c:ser>
          <c:idx val="1"/>
          <c:order val="1"/>
          <c:tx>
            <c:v>Green Street Market-RevPAF (2016 = 100)</c:v>
          </c:tx>
          <c:spPr>
            <a:ln w="28440">
              <a:solidFill>
                <a:srgbClr val="A31F34"/>
              </a:solidFill>
              <a:round/>
            </a:ln>
          </c:spPr>
          <c:marker>
            <c:symbol val="squar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Market'!$AC$4:$AC$13</c:f>
              <c:numCache>
                <c:formatCode>General</c:formatCode>
                <c:ptCount val="10"/>
                <c:pt idx="0">
                  <c:v>100</c:v>
                </c:pt>
                <c:pt idx="1">
                  <c:v>105.616601</c:v>
                </c:pt>
                <c:pt idx="2">
                  <c:v>111.33954847878205</c:v>
                </c:pt>
                <c:pt idx="3">
                  <c:v>117.63658377567846</c:v>
                </c:pt>
                <c:pt idx="4">
                  <c:v>121.31316933222341</c:v>
                </c:pt>
                <c:pt idx="5">
                  <c:v>143.34256968766996</c:v>
                </c:pt>
                <c:pt idx="6">
                  <c:v>180.0410526738425</c:v>
                </c:pt>
                <c:pt idx="7">
                  <c:v>188.32901748236702</c:v>
                </c:pt>
                <c:pt idx="8">
                  <c:v>179.97281001112987</c:v>
                </c:pt>
                <c:pt idx="9">
                  <c:v>173.3807317312083</c:v>
                </c:pt>
              </c:numCache>
            </c:numRef>
          </c:yVal>
          <c:smooth val="0"/>
          <c:extLst>
            <c:ext xmlns:c16="http://schemas.microsoft.com/office/drawing/2014/chart" uri="{C3380CC4-5D6E-409C-BE32-E72D297353CC}">
              <c16:uniqueId val="{00000001-DFD1-4D49-B17E-40AD94756656}"/>
            </c:ext>
          </c:extLst>
        </c:ser>
        <c:dLbls>
          <c:showLegendKey val="0"/>
          <c:showVal val="0"/>
          <c:showCatName val="0"/>
          <c:showSerName val="0"/>
          <c:showPercent val="0"/>
          <c:showBubbleSize val="0"/>
        </c:dLbls>
        <c:axId val="88715793"/>
        <c:axId val="93009699"/>
      </c:scatterChart>
      <c:scatterChart>
        <c:scatterStyle val="lineMarker"/>
        <c:varyColors val="0"/>
        <c:ser>
          <c:idx val="2"/>
          <c:order val="2"/>
          <c:tx>
            <c:v>CoStar National Vacancy (%)</c:v>
          </c:tx>
          <c:spPr>
            <a:ln w="28440">
              <a:solidFill>
                <a:srgbClr val="8A8A8A"/>
              </a:solidFill>
              <a:prstDash val="dash"/>
              <a:round/>
            </a:ln>
          </c:spPr>
          <c:marker>
            <c:symbol val="diamond"/>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Market'!$G$4:$G$13</c:f>
              <c:numCache>
                <c:formatCode>0.00%</c:formatCode>
                <c:ptCount val="10"/>
                <c:pt idx="0">
                  <c:v>5.2253933059267697E-2</c:v>
                </c:pt>
                <c:pt idx="1">
                  <c:v>4.9649774370652398E-2</c:v>
                </c:pt>
                <c:pt idx="2">
                  <c:v>4.6766791152018601E-2</c:v>
                </c:pt>
                <c:pt idx="3">
                  <c:v>5.0732433845904E-2</c:v>
                </c:pt>
                <c:pt idx="4">
                  <c:v>5.45368241986533E-2</c:v>
                </c:pt>
                <c:pt idx="5">
                  <c:v>4.13794988938916E-2</c:v>
                </c:pt>
                <c:pt idx="6">
                  <c:v>3.9003142385786102E-2</c:v>
                </c:pt>
                <c:pt idx="7">
                  <c:v>5.6521739316558198E-2</c:v>
                </c:pt>
                <c:pt idx="8">
                  <c:v>6.8090352693426295E-2</c:v>
                </c:pt>
                <c:pt idx="9">
                  <c:v>7.4612511764970205E-2</c:v>
                </c:pt>
              </c:numCache>
            </c:numRef>
          </c:yVal>
          <c:smooth val="0"/>
          <c:extLst>
            <c:ext xmlns:c16="http://schemas.microsoft.com/office/drawing/2014/chart" uri="{C3380CC4-5D6E-409C-BE32-E72D297353CC}">
              <c16:uniqueId val="{00000002-DFD1-4D49-B17E-40AD94756656}"/>
            </c:ext>
          </c:extLst>
        </c:ser>
        <c:dLbls>
          <c:showLegendKey val="0"/>
          <c:showVal val="0"/>
          <c:showCatName val="0"/>
          <c:showSerName val="0"/>
          <c:showPercent val="0"/>
          <c:showBubbleSize val="0"/>
        </c:dLbls>
        <c:axId val="15429114"/>
        <c:axId val="57232415"/>
      </c:scatterChart>
      <c:valAx>
        <c:axId val="88715793"/>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93009699"/>
        <c:crosses val="autoZero"/>
        <c:crossBetween val="midCat"/>
        <c:majorUnit val="1"/>
      </c:valAx>
      <c:valAx>
        <c:axId val="93009699"/>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8715793"/>
        <c:crosses val="autoZero"/>
        <c:crossBetween val="midCat"/>
      </c:valAx>
      <c:valAx>
        <c:axId val="15429114"/>
        <c:scaling>
          <c:orientation val="minMax"/>
        </c:scaling>
        <c:delete val="1"/>
        <c:axPos val="b"/>
        <c:numFmt formatCode="General" sourceLinked="1"/>
        <c:majorTickMark val="none"/>
        <c:minorTickMark val="none"/>
        <c:tickLblPos val="nextTo"/>
        <c:crossAx val="57232415"/>
        <c:crosses val="autoZero"/>
        <c:crossBetween val="midCat"/>
        <c:majorUnit val="1"/>
      </c:valAx>
      <c:valAx>
        <c:axId val="57232415"/>
        <c:scaling>
          <c:orientation val="minMax"/>
        </c:scaling>
        <c:delete val="0"/>
        <c:axPos val="r"/>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5429114"/>
        <c:crosses val="max"/>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Supply Reduction and Forecast Revenue Recovery (2016-2030): Market-RevPAF Growth
Green Street, 51-market weighted average; dashed segment is the Green Street forecast (2026-2030).</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Market-RevPAF Growth, actual</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c:formatCode>
                <c:ptCount val="10"/>
                <c:pt idx="0">
                  <c:v>6.7850380000000002E-2</c:v>
                </c:pt>
                <c:pt idx="1">
                  <c:v>5.6166010000000002E-2</c:v>
                </c:pt>
                <c:pt idx="2">
                  <c:v>5.4186060000000001E-2</c:v>
                </c:pt>
                <c:pt idx="3">
                  <c:v>5.6557040000000003E-2</c:v>
                </c:pt>
                <c:pt idx="4">
                  <c:v>3.1253759999999998E-2</c:v>
                </c:pt>
                <c:pt idx="5">
                  <c:v>0.18159117</c:v>
                </c:pt>
                <c:pt idx="6">
                  <c:v>0.25601942999999999</c:v>
                </c:pt>
                <c:pt idx="7">
                  <c:v>4.6033749999999998E-2</c:v>
                </c:pt>
                <c:pt idx="8">
                  <c:v>-4.4370260000000002E-2</c:v>
                </c:pt>
                <c:pt idx="9">
                  <c:v>-3.6628189999999998E-2</c:v>
                </c:pt>
              </c:numCache>
            </c:numRef>
          </c:yVal>
          <c:smooth val="0"/>
          <c:extLst>
            <c:ext xmlns:c16="http://schemas.microsoft.com/office/drawing/2014/chart" uri="{C3380CC4-5D6E-409C-BE32-E72D297353CC}">
              <c16:uniqueId val="{00000000-8B2A-444E-BCD7-3D92BD77DEE2}"/>
            </c:ext>
          </c:extLst>
        </c:ser>
        <c:ser>
          <c:idx val="1"/>
          <c:order val="1"/>
          <c:tx>
            <c:v>Market-RevPAF Growth, Green Street forecast</c:v>
          </c:tx>
          <c:spPr>
            <a:ln w="28440">
              <a:solidFill>
                <a:srgbClr val="A31F34"/>
              </a:solidFill>
              <a:prstDash val="dash"/>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c:formatCode>
                <c:ptCount val="6"/>
                <c:pt idx="0">
                  <c:v>-3.6628189999999998E-2</c:v>
                </c:pt>
                <c:pt idx="1">
                  <c:v>1.774707E-2</c:v>
                </c:pt>
                <c:pt idx="2">
                  <c:v>3.4207439999999999E-2</c:v>
                </c:pt>
                <c:pt idx="3">
                  <c:v>2.864914E-2</c:v>
                </c:pt>
                <c:pt idx="4">
                  <c:v>3.008883E-2</c:v>
                </c:pt>
                <c:pt idx="5">
                  <c:v>2.965373E-2</c:v>
                </c:pt>
              </c:numCache>
            </c:numRef>
          </c:yVal>
          <c:smooth val="0"/>
          <c:extLst>
            <c:ext xmlns:c16="http://schemas.microsoft.com/office/drawing/2014/chart" uri="{C3380CC4-5D6E-409C-BE32-E72D297353CC}">
              <c16:uniqueId val="{00000001-8B2A-444E-BCD7-3D92BD77DEE2}"/>
            </c:ext>
          </c:extLst>
        </c:ser>
        <c:dLbls>
          <c:showLegendKey val="0"/>
          <c:showVal val="0"/>
          <c:showCatName val="0"/>
          <c:showSerName val="0"/>
          <c:showPercent val="0"/>
          <c:showBubbleSize val="0"/>
        </c:dLbls>
        <c:axId val="70939715"/>
        <c:axId val="49164858"/>
      </c:scatterChart>
      <c:valAx>
        <c:axId val="70939715"/>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49164858"/>
        <c:crosses val="autoZero"/>
        <c:crossBetween val="midCat"/>
        <c:majorUnit val="1"/>
      </c:valAx>
      <c:valAx>
        <c:axId val="49164858"/>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0939715"/>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Supply Reduction and Forecast Revenue Recovery (2016-2030): Supply Growth (% of Stock)
Green Street, 51-market weighted average; lighter bars are the Green Street forecast (2026-2030).</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barChart>
        <c:barDir val="col"/>
        <c:grouping val="stacked"/>
        <c:varyColors val="0"/>
        <c:ser>
          <c:idx val="0"/>
          <c:order val="0"/>
          <c:tx>
            <c:v>Supply Growth, actual</c:v>
          </c:tx>
          <c:spPr>
            <a:solidFill>
              <a:srgbClr val="1F3B57"/>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'Green Street National'!$A$4:$A$18</c:f>
              <c:numCache>
                <c:formatCode>General</c:formatCod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numCache>
            </c:numRef>
          </c:cat>
          <c:val>
            <c:numRef>
              <c:f>'Green Street National'!$H$4:$H$18</c:f>
              <c:numCache>
                <c:formatCode>0.0%</c:formatCode>
                <c:ptCount val="15"/>
                <c:pt idx="0">
                  <c:v>1.6958379999999999E-2</c:v>
                </c:pt>
                <c:pt idx="1">
                  <c:v>1.8904939999999999E-2</c:v>
                </c:pt>
                <c:pt idx="2">
                  <c:v>2.0244990000000001E-2</c:v>
                </c:pt>
                <c:pt idx="3">
                  <c:v>2.0379209999999998E-2</c:v>
                </c:pt>
                <c:pt idx="4">
                  <c:v>2.0601000000000001E-2</c:v>
                </c:pt>
                <c:pt idx="5">
                  <c:v>2.1810260000000001E-2</c:v>
                </c:pt>
                <c:pt idx="6">
                  <c:v>2.528859E-2</c:v>
                </c:pt>
                <c:pt idx="7">
                  <c:v>3.5278770000000001E-2</c:v>
                </c:pt>
                <c:pt idx="8">
                  <c:v>2.413096E-2</c:v>
                </c:pt>
                <c:pt idx="9">
                  <c:v>1.702586E-2</c:v>
                </c:pt>
                <c:pt idx="10">
                  <c:v>0</c:v>
                </c:pt>
                <c:pt idx="11">
                  <c:v>0</c:v>
                </c:pt>
                <c:pt idx="12">
                  <c:v>0</c:v>
                </c:pt>
                <c:pt idx="13">
                  <c:v>0</c:v>
                </c:pt>
                <c:pt idx="14">
                  <c:v>0</c:v>
                </c:pt>
              </c:numCache>
            </c:numRef>
          </c:val>
          <c:extLst>
            <c:ext xmlns:c16="http://schemas.microsoft.com/office/drawing/2014/chart" uri="{C3380CC4-5D6E-409C-BE32-E72D297353CC}">
              <c16:uniqueId val="{00000000-CE7C-4542-957B-9EED5B5D3E97}"/>
            </c:ext>
          </c:extLst>
        </c:ser>
        <c:ser>
          <c:idx val="1"/>
          <c:order val="1"/>
          <c:tx>
            <c:v>Supply Growth, Green Street forecast</c:v>
          </c:tx>
          <c:spPr>
            <a:solidFill>
              <a:srgbClr val="A9BCD1"/>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'Green Street National'!$A$4:$A$18</c:f>
              <c:numCache>
                <c:formatCode>General</c:formatCod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numCache>
            </c:numRef>
          </c:cat>
          <c:val>
            <c:numRef>
              <c:f>'Green Street National'!$I$4:$I$18</c:f>
              <c:numCache>
                <c:formatCode>0.0%</c:formatCode>
                <c:ptCount val="15"/>
                <c:pt idx="0">
                  <c:v>0</c:v>
                </c:pt>
                <c:pt idx="1">
                  <c:v>0</c:v>
                </c:pt>
                <c:pt idx="2">
                  <c:v>0</c:v>
                </c:pt>
                <c:pt idx="3">
                  <c:v>0</c:v>
                </c:pt>
                <c:pt idx="4">
                  <c:v>0</c:v>
                </c:pt>
                <c:pt idx="5">
                  <c:v>0</c:v>
                </c:pt>
                <c:pt idx="6">
                  <c:v>0</c:v>
                </c:pt>
                <c:pt idx="7">
                  <c:v>0</c:v>
                </c:pt>
                <c:pt idx="8">
                  <c:v>0</c:v>
                </c:pt>
                <c:pt idx="9">
                  <c:v>0</c:v>
                </c:pt>
                <c:pt idx="10">
                  <c:v>1.187E-2</c:v>
                </c:pt>
                <c:pt idx="11">
                  <c:v>1.4069679999999999E-2</c:v>
                </c:pt>
                <c:pt idx="12">
                  <c:v>2.0159659999999999E-2</c:v>
                </c:pt>
                <c:pt idx="13">
                  <c:v>1.7079710000000001E-2</c:v>
                </c:pt>
                <c:pt idx="14">
                  <c:v>1.6869749999999999E-2</c:v>
                </c:pt>
              </c:numCache>
            </c:numRef>
          </c:val>
          <c:extLst>
            <c:ext xmlns:c16="http://schemas.microsoft.com/office/drawing/2014/chart" uri="{C3380CC4-5D6E-409C-BE32-E72D297353CC}">
              <c16:uniqueId val="{00000001-CE7C-4542-957B-9EED5B5D3E97}"/>
            </c:ext>
          </c:extLst>
        </c:ser>
        <c:dLbls>
          <c:showLegendKey val="0"/>
          <c:showVal val="0"/>
          <c:showCatName val="0"/>
          <c:showSerName val="0"/>
          <c:showPercent val="0"/>
          <c:showBubbleSize val="0"/>
        </c:dLbls>
        <c:gapWidth val="150"/>
        <c:overlap val="100"/>
        <c:axId val="43699824"/>
        <c:axId val="51640123"/>
      </c:barChart>
      <c:catAx>
        <c:axId val="43699824"/>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51640123"/>
        <c:crosses val="autoZero"/>
        <c:auto val="1"/>
        <c:lblAlgn val="ctr"/>
        <c:lblOffset val="100"/>
        <c:noMultiLvlLbl val="0"/>
      </c:catAx>
      <c:valAx>
        <c:axId val="51640123"/>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3699824"/>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Operating Fundamentals: CoStar Market Asking Rent ($/SF)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($/SF)</c:v>
          </c:tx>
          <c:spPr>
            <a:ln w="28440">
              <a:solidFill>
                <a:srgbClr val="1F3B57"/>
              </a:solidFill>
              <a:round/>
            </a:ln>
          </c:spPr>
          <c:marker>
            <c:symbol val="circle"/>
            <c:size val="5"/>
            <c:spPr>
              <a:solidFill>
                <a:srgbClr val="1F3B57"/>
              </a:solidFill>
            </c:spPr>
          </c:marker>
          <c:dPt>
            <c:idx val="0"/>
            <c:bubble3D val="0"/>
            <c:extLst>
              <c:ext xmlns:c16="http://schemas.microsoft.com/office/drawing/2014/chart" uri="{C3380CC4-5D6E-409C-BE32-E72D297353CC}">
                <c16:uniqueId val="{00000000-1816-4B72-9B8B-3BF0C6F7D281}"/>
              </c:ext>
            </c:extLst>
          </c:dPt>
          <c:dPt>
            <c:idx val="1"/>
            <c:bubble3D val="0"/>
            <c:extLst>
              <c:ext xmlns:c16="http://schemas.microsoft.com/office/drawing/2014/chart" uri="{C3380CC4-5D6E-409C-BE32-E72D297353CC}">
                <c16:uniqueId val="{00000001-1816-4B72-9B8B-3BF0C6F7D281}"/>
              </c:ext>
            </c:extLst>
          </c:dPt>
          <c:dPt>
            <c:idx val="2"/>
            <c:bubble3D val="0"/>
            <c:extLst>
              <c:ext xmlns:c16="http://schemas.microsoft.com/office/drawing/2014/chart" uri="{C3380CC4-5D6E-409C-BE32-E72D297353CC}">
                <c16:uniqueId val="{00000002-1816-4B72-9B8B-3BF0C6F7D281}"/>
              </c:ext>
            </c:extLst>
          </c:dPt>
          <c:dPt>
            <c:idx val="3"/>
            <c:bubble3D val="0"/>
            <c:extLst>
              <c:ext xmlns:c16="http://schemas.microsoft.com/office/drawing/2014/chart" uri="{C3380CC4-5D6E-409C-BE32-E72D297353CC}">
                <c16:uniqueId val="{00000003-1816-4B72-9B8B-3BF0C6F7D281}"/>
              </c:ext>
            </c:extLst>
          </c:dPt>
          <c:dPt>
            <c:idx val="4"/>
            <c:bubble3D val="0"/>
            <c:extLst>
              <c:ext xmlns:c16="http://schemas.microsoft.com/office/drawing/2014/chart" uri="{C3380CC4-5D6E-409C-BE32-E72D297353CC}">
                <c16:uniqueId val="{00000004-1816-4B72-9B8B-3BF0C6F7D281}"/>
              </c:ext>
            </c:extLst>
          </c:dPt>
          <c:dPt>
            <c:idx val="5"/>
            <c:bubble3D val="0"/>
            <c:extLst>
              <c:ext xmlns:c16="http://schemas.microsoft.com/office/drawing/2014/chart" uri="{C3380CC4-5D6E-409C-BE32-E72D297353CC}">
                <c16:uniqueId val="{00000005-1816-4B72-9B8B-3BF0C6F7D281}"/>
              </c:ext>
            </c:extLst>
          </c:dPt>
          <c:dPt>
            <c:idx val="6"/>
            <c:bubble3D val="0"/>
            <c:extLst>
              <c:ext xmlns:c16="http://schemas.microsoft.com/office/drawing/2014/chart" uri="{C3380CC4-5D6E-409C-BE32-E72D297353CC}">
                <c16:uniqueId val="{00000006-1816-4B72-9B8B-3BF0C6F7D281}"/>
              </c:ext>
            </c:extLst>
          </c:dPt>
          <c:dPt>
            <c:idx val="7"/>
            <c:bubble3D val="0"/>
            <c:extLst>
              <c:ext xmlns:c16="http://schemas.microsoft.com/office/drawing/2014/chart" uri="{C3380CC4-5D6E-409C-BE32-E72D297353CC}">
                <c16:uniqueId val="{00000007-1816-4B72-9B8B-3BF0C6F7D281}"/>
              </c:ext>
            </c:extLst>
          </c:dPt>
          <c:dPt>
            <c:idx val="8"/>
            <c:bubble3D val="0"/>
            <c:extLst>
              <c:ext xmlns:c16="http://schemas.microsoft.com/office/drawing/2014/chart" uri="{C3380CC4-5D6E-409C-BE32-E72D297353CC}">
                <c16:uniqueId val="{00000008-1816-4B72-9B8B-3BF0C6F7D281}"/>
              </c:ext>
            </c:extLst>
          </c:dPt>
          <c:dPt>
            <c:idx val="9"/>
            <c:bubble3D val="0"/>
            <c:extLst>
              <c:ext xmlns:c16="http://schemas.microsoft.com/office/drawing/2014/chart" uri="{C3380CC4-5D6E-409C-BE32-E72D297353CC}">
                <c16:uniqueId val="{00000009-1816-4B72-9B8B-3BF0C6F7D281}"/>
              </c:ext>
            </c:extLst>
          </c:dPt>
          <c:dLbls>
            <c:dLbl>
              <c:idx val="0"/>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0-1816-4B72-9B8B-3BF0C6F7D281}"/>
                </c:ext>
              </c:extLst>
            </c:dLbl>
            <c:dLbl>
              <c:idx val="1"/>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1-1816-4B72-9B8B-3BF0C6F7D281}"/>
                </c:ext>
              </c:extLst>
            </c:dLbl>
            <c:dLbl>
              <c:idx val="2"/>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2-1816-4B72-9B8B-3BF0C6F7D281}"/>
                </c:ext>
              </c:extLst>
            </c:dLbl>
            <c:dLbl>
              <c:idx val="3"/>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3-1816-4B72-9B8B-3BF0C6F7D281}"/>
                </c:ext>
              </c:extLst>
            </c:dLbl>
            <c:dLbl>
              <c:idx val="4"/>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4-1816-4B72-9B8B-3BF0C6F7D281}"/>
                </c:ext>
              </c:extLst>
            </c:dLbl>
            <c:dLbl>
              <c:idx val="5"/>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5-1816-4B72-9B8B-3BF0C6F7D281}"/>
                </c:ext>
              </c:extLst>
            </c:dLbl>
            <c:dLbl>
              <c:idx val="6"/>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6-1816-4B72-9B8B-3BF0C6F7D281}"/>
                </c:ext>
              </c:extLst>
            </c:dLbl>
            <c:dLbl>
              <c:idx val="7"/>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7-1816-4B72-9B8B-3BF0C6F7D281}"/>
                </c:ext>
              </c:extLst>
            </c:dLbl>
            <c:dLbl>
              <c:idx val="8"/>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8-1816-4B72-9B8B-3BF0C6F7D281}"/>
                </c:ext>
              </c:extLst>
            </c:dLbl>
            <c:dLbl>
              <c:idx val="9"/>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9-1816-4B72-9B8B-3BF0C6F7D281}"/>
                </c:ext>
              </c:extLst>
            </c:dLbl>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Market'!$AA$4:$AA$13</c:f>
              <c:numCache>
                <c:formatCode>\$0.00</c:formatCode>
                <c:ptCount val="10"/>
                <c:pt idx="0">
                  <c:v>7.2084040180553197</c:v>
                </c:pt>
                <c:pt idx="1">
                  <c:v>7.6207957627302196</c:v>
                </c:pt>
                <c:pt idx="2">
                  <c:v>8.0585030051050701</c:v>
                </c:pt>
                <c:pt idx="3">
                  <c:v>8.5157481665742498</c:v>
                </c:pt>
                <c:pt idx="4">
                  <c:v>9.0124778657559901</c:v>
                </c:pt>
                <c:pt idx="5">
                  <c:v>9.7576253176282304</c:v>
                </c:pt>
                <c:pt idx="6">
                  <c:v>10.7360950922091</c:v>
                </c:pt>
                <c:pt idx="7">
                  <c:v>11.501830778377499</c:v>
                </c:pt>
                <c:pt idx="8">
                  <c:v>11.911794844842101</c:v>
                </c:pt>
                <c:pt idx="9">
                  <c:v>12.1462063713302</c:v>
                </c:pt>
              </c:numCache>
            </c:numRef>
          </c:yVal>
          <c:smooth val="0"/>
          <c:extLst>
            <c:ext xmlns:c16="http://schemas.microsoft.com/office/drawing/2014/chart" uri="{C3380CC4-5D6E-409C-BE32-E72D297353CC}">
              <c16:uniqueId val="{0000000A-1816-4B72-9B8B-3BF0C6F7D281}"/>
            </c:ext>
          </c:extLst>
        </c:ser>
        <c:dLbls>
          <c:showLegendKey val="0"/>
          <c:showVal val="0"/>
          <c:showCatName val="0"/>
          <c:showSerName val="0"/>
          <c:showPercent val="0"/>
          <c:showBubbleSize val="0"/>
        </c:dLbls>
        <c:axId val="57736199"/>
        <c:axId val="28327957"/>
      </c:scatterChart>
      <c:valAx>
        <c:axId val="57736199"/>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28327957"/>
        <c:crosses val="autoZero"/>
        <c:crossBetween val="midCat"/>
        <c:majorUnit val="1"/>
      </c:valAx>
      <c:valAx>
        <c:axId val="28327957"/>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7736199"/>
        <c:crosses val="autoZero"/>
        <c:crossBetween val="midCat"/>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Bank Prime Loan Rate</c:v>
          </c:tx>
          <c:spPr>
            <a:ln w="28440">
              <a:solidFill>
                <a:srgbClr val="8A8A8A"/>
              </a:solidFill>
              <a:round/>
            </a:ln>
          </c:spPr>
          <c:marker>
            <c:symbol val="triangle"/>
            <c:size val="5"/>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Market'!$P$4:$P$13</c:f>
              <c:numCache>
                <c:formatCode>0.00%</c:formatCode>
                <c:ptCount val="10"/>
                <c:pt idx="0">
                  <c:v>3.5099999999999999E-2</c:v>
                </c:pt>
                <c:pt idx="1">
                  <c:v>4.0999999999999995E-2</c:v>
                </c:pt>
                <c:pt idx="2">
                  <c:v>4.9000000000000002E-2</c:v>
                </c:pt>
                <c:pt idx="3">
                  <c:v>5.28E-2</c:v>
                </c:pt>
                <c:pt idx="4">
                  <c:v>3.5400000000000001E-2</c:v>
                </c:pt>
                <c:pt idx="5">
                  <c:v>3.2500000000000001E-2</c:v>
                </c:pt>
                <c:pt idx="6">
                  <c:v>4.8499999999999995E-2</c:v>
                </c:pt>
                <c:pt idx="7">
                  <c:v>8.1900000000000001E-2</c:v>
                </c:pt>
                <c:pt idx="8">
                  <c:v>8.3100000000000007E-2</c:v>
                </c:pt>
                <c:pt idx="9">
                  <c:v>7.3700000000000002E-2</c:v>
                </c:pt>
              </c:numCache>
            </c:numRef>
          </c:yVal>
          <c:smooth val="0"/>
          <c:extLst>
            <c:ext xmlns:c16="http://schemas.microsoft.com/office/drawing/2014/chart" uri="{C3380CC4-5D6E-409C-BE32-E72D297353CC}">
              <c16:uniqueId val="{00000000-F1CC-48DD-9F18-F866C99262A4}"/>
            </c:ext>
          </c:extLst>
        </c:ser>
        <c:ser>
          <c:idx val="1"/>
          <c:order val="1"/>
          <c:tx>
            <c:v>CPI Inflation (annual avg, YoY)</c:v>
          </c:tx>
          <c:spPr>
            <a:ln w="28440">
              <a:solidFill>
                <a:srgbClr val="C08A00"/>
              </a:solidFill>
              <a:round/>
            </a:ln>
          </c:spPr>
          <c:marker>
            <c:symbol val="diamond"/>
            <c:size val="5"/>
            <c:spPr>
              <a:solidFill>
                <a:srgbClr val="C08A00"/>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Market'!$S$4:$S$13</c:f>
              <c:numCache>
                <c:formatCode>0.0%</c:formatCode>
                <c:ptCount val="10"/>
                <c:pt idx="0">
                  <c:v>1.2670779149543066E-2</c:v>
                </c:pt>
                <c:pt idx="1">
                  <c:v>2.1316222578696253E-2</c:v>
                </c:pt>
                <c:pt idx="2">
                  <c:v>2.4392034954165531E-2</c:v>
                </c:pt>
                <c:pt idx="3">
                  <c:v>1.8132218239745201E-2</c:v>
                </c:pt>
                <c:pt idx="4">
                  <c:v>1.2528701012700871E-2</c:v>
                </c:pt>
                <c:pt idx="5">
                  <c:v>4.6809809314831474E-2</c:v>
                </c:pt>
                <c:pt idx="6">
                  <c:v>7.9908330350256129E-2</c:v>
                </c:pt>
                <c:pt idx="7">
                  <c:v>4.1271110564338187E-2</c:v>
                </c:pt>
                <c:pt idx="8">
                  <c:v>2.9520549518711636E-2</c:v>
                </c:pt>
                <c:pt idx="9">
                  <c:v>2.6343808376209088E-2</c:v>
                </c:pt>
              </c:numCache>
            </c:numRef>
          </c:yVal>
          <c:smooth val="0"/>
          <c:extLst>
            <c:ext xmlns:c16="http://schemas.microsoft.com/office/drawing/2014/chart" uri="{C3380CC4-5D6E-409C-BE32-E72D297353CC}">
              <c16:uniqueId val="{00000001-F1CC-48DD-9F18-F866C99262A4}"/>
            </c:ext>
          </c:extLst>
        </c:ser>
        <c:dLbls>
          <c:showLegendKey val="0"/>
          <c:showVal val="0"/>
          <c:showCatName val="0"/>
          <c:showSerName val="0"/>
          <c:showPercent val="0"/>
          <c:showBubbleSize val="0"/>
        </c:dLbls>
        <c:axId val="46378633"/>
        <c:axId val="29948297"/>
      </c:scatterChart>
      <c:valAx>
        <c:axId val="46378633"/>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29948297"/>
        <c:crosses val="autoZero"/>
        <c:crossBetween val="midCat"/>
        <c:majorUnit val="1"/>
      </c:valAx>
      <c:valAx>
        <c:axId val="29948297"/>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6378633"/>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Valuation: Gross NOI Multiple (2016-2025)
FR figures are aggregate, not per share; shares outstanding grew 1.3% per year on average (13% cumulative,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Gross NOI Multiple (x)</c:v>
          </c:tx>
          <c:spPr>
            <a:ln w="28440">
              <a:solidFill>
                <a:srgbClr val="A31F34"/>
              </a:solidFill>
              <a:round/>
            </a:ln>
          </c:spPr>
          <c:marker>
            <c:symbol val="square"/>
            <c:size val="5"/>
            <c:spPr>
              <a:solidFill>
                <a:srgbClr val="A31F34"/>
              </a:solidFill>
            </c:spPr>
          </c:marker>
          <c:dPt>
            <c:idx val="0"/>
            <c:bubble3D val="0"/>
            <c:extLst>
              <c:ext xmlns:c16="http://schemas.microsoft.com/office/drawing/2014/chart" uri="{C3380CC4-5D6E-409C-BE32-E72D297353CC}">
                <c16:uniqueId val="{00000000-BF1B-4CAB-9269-138115D0FD28}"/>
              </c:ext>
            </c:extLst>
          </c:dPt>
          <c:dPt>
            <c:idx val="1"/>
            <c:bubble3D val="0"/>
            <c:extLst>
              <c:ext xmlns:c16="http://schemas.microsoft.com/office/drawing/2014/chart" uri="{C3380CC4-5D6E-409C-BE32-E72D297353CC}">
                <c16:uniqueId val="{00000001-BF1B-4CAB-9269-138115D0FD28}"/>
              </c:ext>
            </c:extLst>
          </c:dPt>
          <c:dPt>
            <c:idx val="2"/>
            <c:bubble3D val="0"/>
            <c:extLst>
              <c:ext xmlns:c16="http://schemas.microsoft.com/office/drawing/2014/chart" uri="{C3380CC4-5D6E-409C-BE32-E72D297353CC}">
                <c16:uniqueId val="{00000002-BF1B-4CAB-9269-138115D0FD28}"/>
              </c:ext>
            </c:extLst>
          </c:dPt>
          <c:dPt>
            <c:idx val="3"/>
            <c:bubble3D val="0"/>
            <c:extLst>
              <c:ext xmlns:c16="http://schemas.microsoft.com/office/drawing/2014/chart" uri="{C3380CC4-5D6E-409C-BE32-E72D297353CC}">
                <c16:uniqueId val="{00000003-BF1B-4CAB-9269-138115D0FD28}"/>
              </c:ext>
            </c:extLst>
          </c:dPt>
          <c:dPt>
            <c:idx val="4"/>
            <c:bubble3D val="0"/>
            <c:extLst>
              <c:ext xmlns:c16="http://schemas.microsoft.com/office/drawing/2014/chart" uri="{C3380CC4-5D6E-409C-BE32-E72D297353CC}">
                <c16:uniqueId val="{00000004-BF1B-4CAB-9269-138115D0FD28}"/>
              </c:ext>
            </c:extLst>
          </c:dPt>
          <c:dPt>
            <c:idx val="5"/>
            <c:bubble3D val="0"/>
            <c:extLst>
              <c:ext xmlns:c16="http://schemas.microsoft.com/office/drawing/2014/chart" uri="{C3380CC4-5D6E-409C-BE32-E72D297353CC}">
                <c16:uniqueId val="{00000005-BF1B-4CAB-9269-138115D0FD28}"/>
              </c:ext>
            </c:extLst>
          </c:dPt>
          <c:dPt>
            <c:idx val="6"/>
            <c:bubble3D val="0"/>
            <c:extLst>
              <c:ext xmlns:c16="http://schemas.microsoft.com/office/drawing/2014/chart" uri="{C3380CC4-5D6E-409C-BE32-E72D297353CC}">
                <c16:uniqueId val="{00000006-BF1B-4CAB-9269-138115D0FD28}"/>
              </c:ext>
            </c:extLst>
          </c:dPt>
          <c:dPt>
            <c:idx val="7"/>
            <c:bubble3D val="0"/>
            <c:extLst>
              <c:ext xmlns:c16="http://schemas.microsoft.com/office/drawing/2014/chart" uri="{C3380CC4-5D6E-409C-BE32-E72D297353CC}">
                <c16:uniqueId val="{00000007-BF1B-4CAB-9269-138115D0FD28}"/>
              </c:ext>
            </c:extLst>
          </c:dPt>
          <c:dPt>
            <c:idx val="8"/>
            <c:bubble3D val="0"/>
            <c:extLst>
              <c:ext xmlns:c16="http://schemas.microsoft.com/office/drawing/2014/chart" uri="{C3380CC4-5D6E-409C-BE32-E72D297353CC}">
                <c16:uniqueId val="{00000008-BF1B-4CAB-9269-138115D0FD28}"/>
              </c:ext>
            </c:extLst>
          </c:dPt>
          <c:dPt>
            <c:idx val="9"/>
            <c:bubble3D val="0"/>
            <c:extLst>
              <c:ext xmlns:c16="http://schemas.microsoft.com/office/drawing/2014/chart" uri="{C3380CC4-5D6E-409C-BE32-E72D297353CC}">
                <c16:uniqueId val="{00000009-BF1B-4CAB-9269-138115D0FD28}"/>
              </c:ext>
            </c:extLst>
          </c:dPt>
          <c:dLbls>
            <c:dLbl>
              <c:idx val="0"/>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0-BF1B-4CAB-9269-138115D0FD28}"/>
                </c:ext>
              </c:extLst>
            </c:dLbl>
            <c:dLbl>
              <c:idx val="1"/>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1-BF1B-4CAB-9269-138115D0FD28}"/>
                </c:ext>
              </c:extLst>
            </c:dLbl>
            <c:dLbl>
              <c:idx val="2"/>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2-BF1B-4CAB-9269-138115D0FD28}"/>
                </c:ext>
              </c:extLst>
            </c:dLbl>
            <c:dLbl>
              <c:idx val="3"/>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3-BF1B-4CAB-9269-138115D0FD28}"/>
                </c:ext>
              </c:extLst>
            </c:dLbl>
            <c:dLbl>
              <c:idx val="4"/>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4-BF1B-4CAB-9269-138115D0FD28}"/>
                </c:ext>
              </c:extLst>
            </c:dLbl>
            <c:dLbl>
              <c:idx val="5"/>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5-BF1B-4CAB-9269-138115D0FD28}"/>
                </c:ext>
              </c:extLst>
            </c:dLbl>
            <c:dLbl>
              <c:idx val="6"/>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6-BF1B-4CAB-9269-138115D0FD28}"/>
                </c:ext>
              </c:extLst>
            </c:dLbl>
            <c:dLbl>
              <c:idx val="7"/>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7-BF1B-4CAB-9269-138115D0FD28}"/>
                </c:ext>
              </c:extLst>
            </c:dLbl>
            <c:dLbl>
              <c:idx val="8"/>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8-BF1B-4CAB-9269-138115D0FD28}"/>
                </c:ext>
              </c:extLst>
            </c:dLbl>
            <c:dLbl>
              <c:idx val="9"/>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9-BF1B-4CAB-9269-138115D0FD28}"/>
                </c:ext>
              </c:extLst>
            </c:dLbl>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Market'!$J$4:$J$13</c:f>
              <c:numCache>
                <c:formatCode>0.0\x</c:formatCode>
                <c:ptCount val="10"/>
                <c:pt idx="0">
                  <c:v>14.615838191203482</c:v>
                </c:pt>
                <c:pt idx="1">
                  <c:v>14.922064379480256</c:v>
                </c:pt>
                <c:pt idx="2">
                  <c:v>14.609734999233716</c:v>
                </c:pt>
                <c:pt idx="3">
                  <c:v>18.771537352156926</c:v>
                </c:pt>
                <c:pt idx="4">
                  <c:v>18.186741172631699</c:v>
                </c:pt>
                <c:pt idx="5">
                  <c:v>25.797289294182445</c:v>
                </c:pt>
                <c:pt idx="6">
                  <c:v>16.923537971858345</c:v>
                </c:pt>
                <c:pt idx="7">
                  <c:v>16.567238134673548</c:v>
                </c:pt>
                <c:pt idx="8">
                  <c:v>14.5837706598103</c:v>
                </c:pt>
                <c:pt idx="9">
                  <c:v>15.473279622444002</c:v>
                </c:pt>
              </c:numCache>
            </c:numRef>
          </c:yVal>
          <c:smooth val="0"/>
          <c:extLst>
            <c:ext xmlns:c16="http://schemas.microsoft.com/office/drawing/2014/chart" uri="{C3380CC4-5D6E-409C-BE32-E72D297353CC}">
              <c16:uniqueId val="{0000000A-BF1B-4CAB-9269-138115D0FD28}"/>
            </c:ext>
          </c:extLst>
        </c:ser>
        <c:dLbls>
          <c:showLegendKey val="0"/>
          <c:showVal val="0"/>
          <c:showCatName val="0"/>
          <c:showSerName val="0"/>
          <c:showPercent val="0"/>
          <c:showBubbleSize val="0"/>
        </c:dLbls>
        <c:axId val="80488362"/>
        <c:axId val="88812070"/>
      </c:scatterChart>
      <c:valAx>
        <c:axId val="80488362"/>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88812070"/>
        <c:crosses val="autoZero"/>
        <c:crossBetween val="midCat"/>
        <c:majorUnit val="1"/>
      </c:valAx>
      <c:valAx>
        <c:axId val="88812070"/>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0488362"/>
        <c:crosses val="autoZero"/>
        <c:crossBetween val="midCat"/>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800" b="1" strike="noStrike" spc="-1">
                <a:solidFill>
                  <a:srgbClr val="000000"/>
                </a:solidFill>
                <a:latin typeface="Calibri"/>
              </a:defRPr>
            </a:pPr>
            <a:r>
              <a:rPr lang="en-US" sz="1800" b="1" strike="noStrike" spc="-1">
                <a:solidFill>
                  <a:srgbClr val="000000"/>
                </a:solidFill>
                <a:latin typeface="Calibri"/>
              </a:rPr>
              <a:t>FR Stabilized Implied Cap Rate vs. 10-Yr UST, with Spread (2016-2025)</a:t>
            </a:r>
          </a:p>
        </c:rich>
      </c:tx>
      <c:overlay val="0"/>
      <c:spPr>
        <a:noFill/>
        <a:ln w="0">
          <a:noFill/>
        </a:ln>
      </c:spPr>
    </c:title>
    <c:autoTitleDeleted val="0"/>
    <c:plotArea>
      <c:layout>
        <c:manualLayout>
          <c:layoutTarget val="inner"/>
          <c:xMode val="edge"/>
          <c:yMode val="edge"/>
          <c:x val="0.100036425047187"/>
          <c:y val="0.14011856186003499"/>
          <c:w val="0.79952978575449496"/>
          <c:h val="0.67972900146277604"/>
        </c:manualLayout>
      </c:layout>
      <c:barChart>
        <c:barDir val="col"/>
        <c:grouping val="clustered"/>
        <c:varyColors val="0"/>
        <c:ser>
          <c:idx val="0"/>
          <c:order val="0"/>
          <c:tx>
            <c:strRef>
              <c:f>'FR vs Market'!$D$3</c:f>
              <c:strCache>
                <c:ptCount val="1"/>
                <c:pt idx="0">
                  <c:v>Spread: Cap Rate less UST (pp)</c:v>
                </c:pt>
              </c:strCache>
            </c:strRef>
          </c:tx>
          <c:spPr>
            <a:solidFill>
              <a:srgbClr val="D9A0A8"/>
            </a:solidFill>
            <a:ln w="0">
              <a:solidFill>
                <a:srgbClr val="B87B85"/>
              </a:solid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Market'!$D$4:$D$13</c:f>
              <c:numCache>
                <c:formatCode>0.00%</c:formatCode>
                <c:ptCount val="10"/>
                <c:pt idx="0">
                  <c:v>4.3918929309291914E-2</c:v>
                </c:pt>
                <c:pt idx="1">
                  <c:v>4.3014856293954053E-2</c:v>
                </c:pt>
                <c:pt idx="2">
                  <c:v>4.1547511200747324E-2</c:v>
                </c:pt>
                <c:pt idx="3">
                  <c:v>3.4072141819811899E-2</c:v>
                </c:pt>
                <c:pt idx="4">
                  <c:v>4.5685111983935253E-2</c:v>
                </c:pt>
                <c:pt idx="5">
                  <c:v>2.3563762680504204E-2</c:v>
                </c:pt>
                <c:pt idx="6">
                  <c:v>2.0289299274352128E-2</c:v>
                </c:pt>
                <c:pt idx="7">
                  <c:v>2.1560090913832007E-2</c:v>
                </c:pt>
                <c:pt idx="8">
                  <c:v>2.2769372306147305E-2</c:v>
                </c:pt>
                <c:pt idx="9">
                  <c:v>2.2827540146660268E-2</c:v>
                </c:pt>
              </c:numCache>
            </c:numRef>
          </c:val>
          <c:extLst>
            <c:ext xmlns:c16="http://schemas.microsoft.com/office/drawing/2014/chart" uri="{C3380CC4-5D6E-409C-BE32-E72D297353CC}">
              <c16:uniqueId val="{00000000-05C0-4DE1-89F9-51DD79B9900F}"/>
            </c:ext>
          </c:extLst>
        </c:ser>
        <c:dLbls>
          <c:showLegendKey val="0"/>
          <c:showVal val="0"/>
          <c:showCatName val="0"/>
          <c:showSerName val="0"/>
          <c:showPercent val="0"/>
          <c:showBubbleSize val="0"/>
        </c:dLbls>
        <c:gapWidth val="80"/>
        <c:axId val="96627450"/>
        <c:axId val="75129851"/>
      </c:barChart>
      <c:lineChart>
        <c:grouping val="standard"/>
        <c:varyColors val="0"/>
        <c:ser>
          <c:idx val="1"/>
          <c:order val="1"/>
          <c:tx>
            <c:strRef>
              <c:f>'FR vs Market'!$B$3</c:f>
              <c:strCache>
                <c:ptCount val="1"/>
                <c:pt idx="0">
                  <c:v>FR Stabilized Implied Cap Rate (%)</c:v>
                </c:pt>
              </c:strCache>
            </c:strRef>
          </c:tx>
          <c:spPr>
            <a:ln w="28080">
              <a:solidFill>
                <a:srgbClr val="A31F34"/>
              </a:solidFill>
              <a:round/>
            </a:ln>
          </c:spPr>
          <c:marker>
            <c:symbol val="circle"/>
            <c:size val="6"/>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Market'!$B$4:$B$13</c:f>
              <c:numCache>
                <c:formatCode>0.00%</c:formatCode>
                <c:ptCount val="10"/>
                <c:pt idx="0">
                  <c:v>6.8418929309291915E-2</c:v>
                </c:pt>
                <c:pt idx="1">
                  <c:v>6.7014856293954053E-2</c:v>
                </c:pt>
                <c:pt idx="2">
                  <c:v>6.8447511200747324E-2</c:v>
                </c:pt>
                <c:pt idx="3">
                  <c:v>5.3272141819811894E-2</c:v>
                </c:pt>
                <c:pt idx="4">
                  <c:v>5.4985111983935256E-2</c:v>
                </c:pt>
                <c:pt idx="5">
                  <c:v>3.8763762680504202E-2</c:v>
                </c:pt>
                <c:pt idx="6">
                  <c:v>5.9089299274352129E-2</c:v>
                </c:pt>
                <c:pt idx="7">
                  <c:v>6.0360090913832008E-2</c:v>
                </c:pt>
                <c:pt idx="8">
                  <c:v>6.8569372306147305E-2</c:v>
                </c:pt>
                <c:pt idx="9">
                  <c:v>6.4627540146660264E-2</c:v>
                </c:pt>
              </c:numCache>
            </c:numRef>
          </c:val>
          <c:smooth val="0"/>
          <c:extLst>
            <c:ext xmlns:c16="http://schemas.microsoft.com/office/drawing/2014/chart" uri="{C3380CC4-5D6E-409C-BE32-E72D297353CC}">
              <c16:uniqueId val="{00000001-05C0-4DE1-89F9-51DD79B9900F}"/>
            </c:ext>
          </c:extLst>
        </c:ser>
        <c:ser>
          <c:idx val="2"/>
          <c:order val="2"/>
          <c:tx>
            <c:strRef>
              <c:f>'FR vs Market'!$C$3</c:f>
              <c:strCache>
                <c:ptCount val="1"/>
                <c:pt idx="0">
                  <c:v>10-Yr UST Yield (%)</c:v>
                </c:pt>
              </c:strCache>
            </c:strRef>
          </c:tx>
          <c:spPr>
            <a:ln w="28080">
              <a:solidFill>
                <a:srgbClr val="3A3A3A"/>
              </a:solidFill>
              <a:round/>
            </a:ln>
          </c:spPr>
          <c:marker>
            <c:symbol val="circle"/>
            <c:size val="6"/>
            <c:spPr>
              <a:solidFill>
                <a:srgbClr val="3A3A3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Market'!$C$4:$C$13</c:f>
              <c:numCache>
                <c:formatCode>0.00%</c:formatCode>
                <c:ptCount val="10"/>
                <c:pt idx="0">
                  <c:v>2.4500000000000001E-2</c:v>
                </c:pt>
                <c:pt idx="1">
                  <c:v>2.4E-2</c:v>
                </c:pt>
                <c:pt idx="2">
                  <c:v>2.69E-2</c:v>
                </c:pt>
                <c:pt idx="3">
                  <c:v>1.9199999999999998E-2</c:v>
                </c:pt>
                <c:pt idx="4">
                  <c:v>9.300000000000001E-3</c:v>
                </c:pt>
                <c:pt idx="5">
                  <c:v>1.52E-2</c:v>
                </c:pt>
                <c:pt idx="6">
                  <c:v>3.8800000000000001E-2</c:v>
                </c:pt>
                <c:pt idx="7">
                  <c:v>3.8800000000000001E-2</c:v>
                </c:pt>
                <c:pt idx="8">
                  <c:v>4.58E-2</c:v>
                </c:pt>
                <c:pt idx="9">
                  <c:v>4.1799999999999997E-2</c:v>
                </c:pt>
              </c:numCache>
            </c:numRef>
          </c:val>
          <c:smooth val="0"/>
          <c:extLst>
            <c:ext xmlns:c16="http://schemas.microsoft.com/office/drawing/2014/chart" uri="{C3380CC4-5D6E-409C-BE32-E72D297353CC}">
              <c16:uniqueId val="{00000002-05C0-4DE1-89F9-51DD79B9900F}"/>
            </c:ext>
          </c:extLst>
        </c:ser>
        <c:dLbls>
          <c:showLegendKey val="0"/>
          <c:showVal val="0"/>
          <c:showCatName val="0"/>
          <c:showSerName val="0"/>
          <c:showPercent val="0"/>
          <c:showBubbleSize val="0"/>
        </c:dLbls>
        <c:hiLowLines>
          <c:spPr>
            <a:ln w="0">
              <a:noFill/>
            </a:ln>
          </c:spPr>
        </c:hiLowLines>
        <c:marker val="1"/>
        <c:smooth val="0"/>
        <c:axId val="11242175"/>
        <c:axId val="23777816"/>
      </c:lineChart>
      <c:catAx>
        <c:axId val="96627450"/>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75129851"/>
        <c:crosses val="autoZero"/>
        <c:auto val="1"/>
        <c:lblAlgn val="ctr"/>
        <c:lblOffset val="100"/>
        <c:noMultiLvlLbl val="0"/>
      </c:catAx>
      <c:valAx>
        <c:axId val="75129851"/>
        <c:scaling>
          <c:orientation val="minMax"/>
        </c:scaling>
        <c:delete val="0"/>
        <c:axPos val="l"/>
        <c:majorGridlines>
          <c:spPr>
            <a:ln w="0">
              <a:solidFill>
                <a:srgbClr val="B3B3B3"/>
              </a:solidFill>
            </a:ln>
          </c:spPr>
        </c:majorGridlines>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96627450"/>
        <c:crosses val="autoZero"/>
        <c:crossBetween val="between"/>
      </c:valAx>
      <c:catAx>
        <c:axId val="11242175"/>
        <c:scaling>
          <c:orientation val="minMax"/>
        </c:scaling>
        <c:delete val="1"/>
        <c:axPos val="b"/>
        <c:numFmt formatCode="General" sourceLinked="1"/>
        <c:majorTickMark val="none"/>
        <c:minorTickMark val="none"/>
        <c:tickLblPos val="nextTo"/>
        <c:crossAx val="23777816"/>
        <c:crosses val="autoZero"/>
        <c:auto val="1"/>
        <c:lblAlgn val="ctr"/>
        <c:lblOffset val="100"/>
        <c:noMultiLvlLbl val="0"/>
      </c:catAx>
      <c:valAx>
        <c:axId val="23777816"/>
        <c:scaling>
          <c:orientation val="minMax"/>
        </c:scaling>
        <c:delete val="0"/>
        <c:axPos val="r"/>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1242175"/>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800" b="1" strike="noStrike" spc="-1">
                <a:solidFill>
                  <a:srgbClr val="000000"/>
                </a:solidFill>
                <a:latin typeface="Calibri"/>
              </a:defRPr>
            </a:pPr>
            <a:r>
              <a:rPr lang="en-US" sz="1800" b="1" strike="noStrike" spc="-1">
                <a:solidFill>
                  <a:srgbClr val="000000"/>
                </a:solidFill>
                <a:latin typeface="Calibri"/>
              </a:rPr>
              <a:t>FR: Cap Rate vs. Leveraged Equity Yield (2016-2025)</a:t>
            </a:r>
          </a:p>
        </c:rich>
      </c:tx>
      <c:overlay val="0"/>
      <c:spPr>
        <a:noFill/>
        <a:ln w="0">
          <a:noFill/>
        </a:ln>
      </c:spPr>
    </c:title>
    <c:autoTitleDeleted val="0"/>
    <c:plotArea>
      <c:layout>
        <c:manualLayout>
          <c:layoutTarget val="inner"/>
          <c:xMode val="edge"/>
          <c:yMode val="edge"/>
          <c:x val="0.100036425047187"/>
          <c:y val="0.14011856186003499"/>
          <c:w val="0.79952978575449496"/>
          <c:h val="0.67972900146277604"/>
        </c:manualLayout>
      </c:layout>
      <c:barChart>
        <c:barDir val="col"/>
        <c:grouping val="clustered"/>
        <c:varyColors val="0"/>
        <c:ser>
          <c:idx val="0"/>
          <c:order val="0"/>
          <c:tx>
            <c:strRef>
              <c:f>'FR vs Market'!$F$3</c:f>
              <c:strCache>
                <c:ptCount val="1"/>
                <c:pt idx="0">
                  <c:v>Leverage Contribution: Lev Yield less Cap Rate (pp)</c:v>
                </c:pt>
              </c:strCache>
            </c:strRef>
          </c:tx>
          <c:spPr>
            <a:solidFill>
              <a:srgbClr val="9DBB9D"/>
            </a:solidFill>
            <a:ln w="0">
              <a:solidFill>
                <a:srgbClr val="7A9A7A"/>
              </a:solid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Market'!$F$4:$F$13</c:f>
              <c:numCache>
                <c:formatCode>0.00%</c:formatCode>
                <c:ptCount val="10"/>
                <c:pt idx="0">
                  <c:v>1.2907337296915261E-2</c:v>
                </c:pt>
                <c:pt idx="1">
                  <c:v>1.0161843609002991E-2</c:v>
                </c:pt>
                <c:pt idx="2">
                  <c:v>1.742103444871701E-2</c:v>
                </c:pt>
                <c:pt idx="3">
                  <c:v>6.6506686220230565E-3</c:v>
                </c:pt>
                <c:pt idx="4">
                  <c:v>8.2969694602482019E-3</c:v>
                </c:pt>
                <c:pt idx="5">
                  <c:v>2.5113811430648378E-3</c:v>
                </c:pt>
                <c:pt idx="6">
                  <c:v>1.5803367815025206E-2</c:v>
                </c:pt>
                <c:pt idx="7">
                  <c:v>1.1651082280273985E-2</c:v>
                </c:pt>
                <c:pt idx="8">
                  <c:v>1.4074884894572648E-2</c:v>
                </c:pt>
                <c:pt idx="9">
                  <c:v>1.3998869867253405E-2</c:v>
                </c:pt>
              </c:numCache>
            </c:numRef>
          </c:val>
          <c:extLst>
            <c:ext xmlns:c16="http://schemas.microsoft.com/office/drawing/2014/chart" uri="{C3380CC4-5D6E-409C-BE32-E72D297353CC}">
              <c16:uniqueId val="{00000000-3D39-4FE3-A32C-DC4D6F58A741}"/>
            </c:ext>
          </c:extLst>
        </c:ser>
        <c:dLbls>
          <c:showLegendKey val="0"/>
          <c:showVal val="0"/>
          <c:showCatName val="0"/>
          <c:showSerName val="0"/>
          <c:showPercent val="0"/>
          <c:showBubbleSize val="0"/>
        </c:dLbls>
        <c:gapWidth val="80"/>
        <c:axId val="30205304"/>
        <c:axId val="33494039"/>
      </c:barChart>
      <c:lineChart>
        <c:grouping val="standard"/>
        <c:varyColors val="0"/>
        <c:ser>
          <c:idx val="1"/>
          <c:order val="1"/>
          <c:tx>
            <c:strRef>
              <c:f>'FR vs Market'!$B$3</c:f>
              <c:strCache>
                <c:ptCount val="1"/>
                <c:pt idx="0">
                  <c:v>FR Stabilized Implied Cap Rate (%)</c:v>
                </c:pt>
              </c:strCache>
            </c:strRef>
          </c:tx>
          <c:spPr>
            <a:ln w="28080">
              <a:solidFill>
                <a:srgbClr val="A31F34"/>
              </a:solidFill>
              <a:round/>
            </a:ln>
          </c:spPr>
          <c:marker>
            <c:symbol val="circle"/>
            <c:size val="6"/>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Market'!$B$4:$B$13</c:f>
              <c:numCache>
                <c:formatCode>0.00%</c:formatCode>
                <c:ptCount val="10"/>
                <c:pt idx="0">
                  <c:v>6.8418929309291915E-2</c:v>
                </c:pt>
                <c:pt idx="1">
                  <c:v>6.7014856293954053E-2</c:v>
                </c:pt>
                <c:pt idx="2">
                  <c:v>6.8447511200747324E-2</c:v>
                </c:pt>
                <c:pt idx="3">
                  <c:v>5.3272141819811894E-2</c:v>
                </c:pt>
                <c:pt idx="4">
                  <c:v>5.4985111983935256E-2</c:v>
                </c:pt>
                <c:pt idx="5">
                  <c:v>3.8763762680504202E-2</c:v>
                </c:pt>
                <c:pt idx="6">
                  <c:v>5.9089299274352129E-2</c:v>
                </c:pt>
                <c:pt idx="7">
                  <c:v>6.0360090913832008E-2</c:v>
                </c:pt>
                <c:pt idx="8">
                  <c:v>6.8569372306147305E-2</c:v>
                </c:pt>
                <c:pt idx="9">
                  <c:v>6.4627540146660264E-2</c:v>
                </c:pt>
              </c:numCache>
            </c:numRef>
          </c:val>
          <c:smooth val="0"/>
          <c:extLst>
            <c:ext xmlns:c16="http://schemas.microsoft.com/office/drawing/2014/chart" uri="{C3380CC4-5D6E-409C-BE32-E72D297353CC}">
              <c16:uniqueId val="{00000001-3D39-4FE3-A32C-DC4D6F58A741}"/>
            </c:ext>
          </c:extLst>
        </c:ser>
        <c:ser>
          <c:idx val="2"/>
          <c:order val="2"/>
          <c:tx>
            <c:strRef>
              <c:f>'FR vs Market'!$E$3</c:f>
              <c:strCache>
                <c:ptCount val="1"/>
                <c:pt idx="0">
                  <c:v>FR Stabilized Leveraged Equity Yield (%)</c:v>
                </c:pt>
              </c:strCache>
            </c:strRef>
          </c:tx>
          <c:spPr>
            <a:ln w="28080">
              <a:solidFill>
                <a:srgbClr val="3A3A3A"/>
              </a:solidFill>
              <a:round/>
            </a:ln>
          </c:spPr>
          <c:marker>
            <c:symbol val="circle"/>
            <c:size val="6"/>
            <c:spPr>
              <a:solidFill>
                <a:srgbClr val="3A3A3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Market'!$E$4:$E$13</c:f>
              <c:numCache>
                <c:formatCode>0.00%</c:formatCode>
                <c:ptCount val="10"/>
                <c:pt idx="0">
                  <c:v>8.1326266606207176E-2</c:v>
                </c:pt>
                <c:pt idx="1">
                  <c:v>7.7176699902957044E-2</c:v>
                </c:pt>
                <c:pt idx="2">
                  <c:v>8.5868545649464334E-2</c:v>
                </c:pt>
                <c:pt idx="3">
                  <c:v>5.9922810441834951E-2</c:v>
                </c:pt>
                <c:pt idx="4">
                  <c:v>6.3282081444183458E-2</c:v>
                </c:pt>
                <c:pt idx="5">
                  <c:v>4.127514382356904E-2</c:v>
                </c:pt>
                <c:pt idx="6">
                  <c:v>7.4892667089377335E-2</c:v>
                </c:pt>
                <c:pt idx="7">
                  <c:v>7.2011173194105993E-2</c:v>
                </c:pt>
                <c:pt idx="8">
                  <c:v>8.2644257200719953E-2</c:v>
                </c:pt>
                <c:pt idx="9">
                  <c:v>7.862641001391367E-2</c:v>
                </c:pt>
              </c:numCache>
            </c:numRef>
          </c:val>
          <c:smooth val="0"/>
          <c:extLst>
            <c:ext xmlns:c16="http://schemas.microsoft.com/office/drawing/2014/chart" uri="{C3380CC4-5D6E-409C-BE32-E72D297353CC}">
              <c16:uniqueId val="{00000002-3D39-4FE3-A32C-DC4D6F58A741}"/>
            </c:ext>
          </c:extLst>
        </c:ser>
        <c:dLbls>
          <c:showLegendKey val="0"/>
          <c:showVal val="0"/>
          <c:showCatName val="0"/>
          <c:showSerName val="0"/>
          <c:showPercent val="0"/>
          <c:showBubbleSize val="0"/>
        </c:dLbls>
        <c:hiLowLines>
          <c:spPr>
            <a:ln w="0">
              <a:noFill/>
            </a:ln>
          </c:spPr>
        </c:hiLowLines>
        <c:marker val="1"/>
        <c:smooth val="0"/>
        <c:axId val="15569260"/>
        <c:axId val="33333261"/>
      </c:lineChart>
      <c:catAx>
        <c:axId val="30205304"/>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33494039"/>
        <c:crosses val="autoZero"/>
        <c:auto val="1"/>
        <c:lblAlgn val="ctr"/>
        <c:lblOffset val="100"/>
        <c:noMultiLvlLbl val="0"/>
      </c:catAx>
      <c:valAx>
        <c:axId val="33494039"/>
        <c:scaling>
          <c:orientation val="minMax"/>
        </c:scaling>
        <c:delete val="0"/>
        <c:axPos val="l"/>
        <c:majorGridlines>
          <c:spPr>
            <a:ln w="0">
              <a:solidFill>
                <a:srgbClr val="B3B3B3"/>
              </a:solidFill>
            </a:ln>
          </c:spPr>
        </c:majorGridlines>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30205304"/>
        <c:crosses val="autoZero"/>
        <c:crossBetween val="between"/>
      </c:valAx>
      <c:catAx>
        <c:axId val="15569260"/>
        <c:scaling>
          <c:orientation val="minMax"/>
        </c:scaling>
        <c:delete val="1"/>
        <c:axPos val="b"/>
        <c:numFmt formatCode="General" sourceLinked="1"/>
        <c:majorTickMark val="none"/>
        <c:minorTickMark val="none"/>
        <c:tickLblPos val="nextTo"/>
        <c:crossAx val="33333261"/>
        <c:crosses val="autoZero"/>
        <c:auto val="1"/>
        <c:lblAlgn val="ctr"/>
        <c:lblOffset val="100"/>
        <c:noMultiLvlLbl val="0"/>
      </c:catAx>
      <c:valAx>
        <c:axId val="33333261"/>
        <c:scaling>
          <c:orientation val="minMax"/>
        </c:scaling>
        <c:delete val="0"/>
        <c:axPos val="r"/>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5569260"/>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9.0036093910394396E-2"/>
          <c:y val="0.20016937408576499"/>
          <c:w val="0.81956356170734102"/>
          <c:h val="0.55962737701131704"/>
        </c:manualLayout>
      </c:layout>
      <c:barChart>
        <c:barDir val="col"/>
        <c:grouping val="stacked"/>
        <c:varyColors val="0"/>
        <c:ser>
          <c:idx val="0"/>
          <c:order val="0"/>
          <c:tx>
            <c:v>Annual NOI ($M)</c:v>
          </c:tx>
          <c:spPr>
            <a:solidFill>
              <a:srgbClr val="A31F34"/>
            </a:solidFill>
            <a:ln w="0">
              <a:noFill/>
            </a:ln>
          </c:spPr>
          <c:invertIfNegative val="0"/>
          <c:dPt>
            <c:idx val="1"/>
            <c:invertIfNegative val="0"/>
            <c:bubble3D val="0"/>
            <c:spPr>
              <a:solidFill>
                <a:srgbClr val="A31F34"/>
              </a:solidFill>
              <a:ln w="0">
                <a:noFill/>
              </a:ln>
            </c:spPr>
            <c:extLst>
              <c:ext xmlns:c16="http://schemas.microsoft.com/office/drawing/2014/chart" uri="{C3380CC4-5D6E-409C-BE32-E72D297353CC}">
                <c16:uniqueId val="{00000001-C514-4DB6-B7B5-B5D3F7D6BF20}"/>
              </c:ext>
            </c:extLst>
          </c:dPt>
          <c:dPt>
            <c:idx val="2"/>
            <c:invertIfNegative val="0"/>
            <c:bubble3D val="0"/>
            <c:spPr>
              <a:solidFill>
                <a:srgbClr val="A31F34"/>
              </a:solidFill>
              <a:ln w="0">
                <a:noFill/>
              </a:ln>
            </c:spPr>
            <c:extLst>
              <c:ext xmlns:c16="http://schemas.microsoft.com/office/drawing/2014/chart" uri="{C3380CC4-5D6E-409C-BE32-E72D297353CC}">
                <c16:uniqueId val="{00000003-C514-4DB6-B7B5-B5D3F7D6BF20}"/>
              </c:ext>
            </c:extLst>
          </c:dPt>
          <c:dPt>
            <c:idx val="3"/>
            <c:invertIfNegative val="0"/>
            <c:bubble3D val="0"/>
            <c:spPr>
              <a:solidFill>
                <a:srgbClr val="A31F34"/>
              </a:solidFill>
              <a:ln w="0">
                <a:noFill/>
              </a:ln>
            </c:spPr>
            <c:extLst>
              <c:ext xmlns:c16="http://schemas.microsoft.com/office/drawing/2014/chart" uri="{C3380CC4-5D6E-409C-BE32-E72D297353CC}">
                <c16:uniqueId val="{00000005-C514-4DB6-B7B5-B5D3F7D6BF20}"/>
              </c:ext>
            </c:extLst>
          </c:dPt>
          <c:dPt>
            <c:idx val="4"/>
            <c:invertIfNegative val="0"/>
            <c:bubble3D val="0"/>
            <c:spPr>
              <a:solidFill>
                <a:srgbClr val="A31F34"/>
              </a:solidFill>
              <a:ln w="0">
                <a:noFill/>
              </a:ln>
            </c:spPr>
            <c:extLst>
              <c:ext xmlns:c16="http://schemas.microsoft.com/office/drawing/2014/chart" uri="{C3380CC4-5D6E-409C-BE32-E72D297353CC}">
                <c16:uniqueId val="{00000007-C514-4DB6-B7B5-B5D3F7D6BF20}"/>
              </c:ext>
            </c:extLst>
          </c:dPt>
          <c:dPt>
            <c:idx val="5"/>
            <c:invertIfNegative val="0"/>
            <c:bubble3D val="0"/>
            <c:spPr>
              <a:solidFill>
                <a:srgbClr val="A31F34"/>
              </a:solidFill>
              <a:ln w="0">
                <a:noFill/>
              </a:ln>
            </c:spPr>
            <c:extLst>
              <c:ext xmlns:c16="http://schemas.microsoft.com/office/drawing/2014/chart" uri="{C3380CC4-5D6E-409C-BE32-E72D297353CC}">
                <c16:uniqueId val="{00000009-C514-4DB6-B7B5-B5D3F7D6BF20}"/>
              </c:ext>
            </c:extLst>
          </c:dPt>
          <c:dPt>
            <c:idx val="6"/>
            <c:invertIfNegative val="0"/>
            <c:bubble3D val="0"/>
            <c:spPr>
              <a:solidFill>
                <a:srgbClr val="A31F34"/>
              </a:solidFill>
              <a:ln w="0">
                <a:noFill/>
              </a:ln>
            </c:spPr>
            <c:extLst>
              <c:ext xmlns:c16="http://schemas.microsoft.com/office/drawing/2014/chart" uri="{C3380CC4-5D6E-409C-BE32-E72D297353CC}">
                <c16:uniqueId val="{0000000B-C514-4DB6-B7B5-B5D3F7D6BF20}"/>
              </c:ext>
            </c:extLst>
          </c:dPt>
          <c:dPt>
            <c:idx val="7"/>
            <c:invertIfNegative val="0"/>
            <c:bubble3D val="0"/>
            <c:spPr>
              <a:solidFill>
                <a:srgbClr val="A31F34"/>
              </a:solidFill>
              <a:ln w="0">
                <a:noFill/>
              </a:ln>
            </c:spPr>
            <c:extLst>
              <c:ext xmlns:c16="http://schemas.microsoft.com/office/drawing/2014/chart" uri="{C3380CC4-5D6E-409C-BE32-E72D297353CC}">
                <c16:uniqueId val="{0000000D-C514-4DB6-B7B5-B5D3F7D6BF20}"/>
              </c:ext>
            </c:extLst>
          </c:dPt>
          <c:dPt>
            <c:idx val="8"/>
            <c:invertIfNegative val="0"/>
            <c:bubble3D val="0"/>
            <c:spPr>
              <a:solidFill>
                <a:srgbClr val="A31F34"/>
              </a:solidFill>
              <a:ln w="0">
                <a:noFill/>
              </a:ln>
            </c:spPr>
            <c:extLst>
              <c:ext xmlns:c16="http://schemas.microsoft.com/office/drawing/2014/chart" uri="{C3380CC4-5D6E-409C-BE32-E72D297353CC}">
                <c16:uniqueId val="{0000000F-C514-4DB6-B7B5-B5D3F7D6BF20}"/>
              </c:ext>
            </c:extLst>
          </c:dPt>
          <c:dPt>
            <c:idx val="9"/>
            <c:invertIfNegative val="0"/>
            <c:bubble3D val="0"/>
            <c:spPr>
              <a:solidFill>
                <a:srgbClr val="A31F34"/>
              </a:solidFill>
              <a:ln w="0">
                <a:noFill/>
              </a:ln>
            </c:spPr>
            <c:extLst>
              <c:ext xmlns:c16="http://schemas.microsoft.com/office/drawing/2014/chart" uri="{C3380CC4-5D6E-409C-BE32-E72D297353CC}">
                <c16:uniqueId val="{00000011-C514-4DB6-B7B5-B5D3F7D6BF20}"/>
              </c:ext>
            </c:extLst>
          </c:dPt>
          <c:dLbls>
            <c:dLbl>
              <c:idx val="0"/>
              <c:delete val="1"/>
              <c:extLst>
                <c:ext xmlns:c15="http://schemas.microsoft.com/office/drawing/2012/chart" uri="{CE6537A1-D6FC-4f65-9D91-7224C49458BB}"/>
                <c:ext xmlns:c16="http://schemas.microsoft.com/office/drawing/2014/chart" uri="{C3380CC4-5D6E-409C-BE32-E72D297353CC}">
                  <c16:uniqueId val="{00000012-C514-4DB6-B7B5-B5D3F7D6BF20}"/>
                </c:ext>
              </c:extLst>
            </c:dLbl>
            <c:dLbl>
              <c:idx val="1"/>
              <c:layout>
                <c:manualLayout>
                  <c:x val="0"/>
                  <c:y val="-0.06"/>
                </c:manualLayout>
              </c:layout>
              <c:tx>
                <c:rich>
                  <a:bodyPr/>
                  <a:lstStyle/>
                  <a:p>
                    <a:pPr>
                      <a:defRPr sz="1000" b="1">
                        <a:solidFill>
                          <a:srgbClr val="A31F34"/>
                        </a:solidFill>
                      </a:defRPr>
                    </a:pPr>
                    <a:fld id="{521AA09C-EFC8-4B9E-8D54-2A9B6407D3DE}"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14-4DB6-B7B5-B5D3F7D6BF20}"/>
                </c:ext>
              </c:extLst>
            </c:dLbl>
            <c:dLbl>
              <c:idx val="2"/>
              <c:layout>
                <c:manualLayout>
                  <c:x val="0"/>
                  <c:y val="-0.06"/>
                </c:manualLayout>
              </c:layout>
              <c:tx>
                <c:rich>
                  <a:bodyPr/>
                  <a:lstStyle/>
                  <a:p>
                    <a:pPr>
                      <a:defRPr sz="1000" b="1">
                        <a:solidFill>
                          <a:srgbClr val="A31F34"/>
                        </a:solidFill>
                      </a:defRPr>
                    </a:pPr>
                    <a:fld id="{07159098-7AA0-4DA8-B5F0-0FCF9399F2FD}"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14-4DB6-B7B5-B5D3F7D6BF20}"/>
                </c:ext>
              </c:extLst>
            </c:dLbl>
            <c:dLbl>
              <c:idx val="3"/>
              <c:layout>
                <c:manualLayout>
                  <c:x val="0"/>
                  <c:y val="-0.06"/>
                </c:manualLayout>
              </c:layout>
              <c:tx>
                <c:rich>
                  <a:bodyPr/>
                  <a:lstStyle/>
                  <a:p>
                    <a:pPr>
                      <a:defRPr sz="1000" b="1">
                        <a:solidFill>
                          <a:srgbClr val="A31F34"/>
                        </a:solidFill>
                      </a:defRPr>
                    </a:pPr>
                    <a:fld id="{439B5985-599E-48D9-A1C8-626FFA3B6406}"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14-4DB6-B7B5-B5D3F7D6BF20}"/>
                </c:ext>
              </c:extLst>
            </c:dLbl>
            <c:dLbl>
              <c:idx val="4"/>
              <c:layout>
                <c:manualLayout>
                  <c:x val="0"/>
                  <c:y val="-0.06"/>
                </c:manualLayout>
              </c:layout>
              <c:tx>
                <c:rich>
                  <a:bodyPr/>
                  <a:lstStyle/>
                  <a:p>
                    <a:pPr>
                      <a:defRPr sz="1000" b="1">
                        <a:solidFill>
                          <a:srgbClr val="A31F34"/>
                        </a:solidFill>
                      </a:defRPr>
                    </a:pPr>
                    <a:fld id="{DBD540ED-E013-4715-9A48-8495EFCCC07D}"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14-4DB6-B7B5-B5D3F7D6BF20}"/>
                </c:ext>
              </c:extLst>
            </c:dLbl>
            <c:dLbl>
              <c:idx val="5"/>
              <c:layout>
                <c:manualLayout>
                  <c:x val="0"/>
                  <c:y val="-0.06"/>
                </c:manualLayout>
              </c:layout>
              <c:tx>
                <c:rich>
                  <a:bodyPr/>
                  <a:lstStyle/>
                  <a:p>
                    <a:pPr>
                      <a:defRPr sz="1000" b="1">
                        <a:solidFill>
                          <a:srgbClr val="A31F34"/>
                        </a:solidFill>
                      </a:defRPr>
                    </a:pPr>
                    <a:fld id="{74594472-A04B-4BB3-AEFE-5FC0F61E1808}"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14-4DB6-B7B5-B5D3F7D6BF20}"/>
                </c:ext>
              </c:extLst>
            </c:dLbl>
            <c:dLbl>
              <c:idx val="6"/>
              <c:layout>
                <c:manualLayout>
                  <c:x val="0"/>
                  <c:y val="-0.06"/>
                </c:manualLayout>
              </c:layout>
              <c:tx>
                <c:rich>
                  <a:bodyPr/>
                  <a:lstStyle/>
                  <a:p>
                    <a:pPr>
                      <a:defRPr sz="1000" b="1">
                        <a:solidFill>
                          <a:srgbClr val="A31F34"/>
                        </a:solidFill>
                      </a:defRPr>
                    </a:pPr>
                    <a:fld id="{83426526-4CDD-438A-8415-C1E6156DB554}"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14-4DB6-B7B5-B5D3F7D6BF20}"/>
                </c:ext>
              </c:extLst>
            </c:dLbl>
            <c:dLbl>
              <c:idx val="7"/>
              <c:layout>
                <c:manualLayout>
                  <c:x val="0"/>
                  <c:y val="-0.06"/>
                </c:manualLayout>
              </c:layout>
              <c:tx>
                <c:rich>
                  <a:bodyPr/>
                  <a:lstStyle/>
                  <a:p>
                    <a:pPr>
                      <a:defRPr sz="1000" b="1">
                        <a:solidFill>
                          <a:srgbClr val="A31F34"/>
                        </a:solidFill>
                      </a:defRPr>
                    </a:pPr>
                    <a:fld id="{B3BB4207-C69C-4BD3-B9E6-017B942F4423}"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14-4DB6-B7B5-B5D3F7D6BF20}"/>
                </c:ext>
              </c:extLst>
            </c:dLbl>
            <c:dLbl>
              <c:idx val="8"/>
              <c:layout>
                <c:manualLayout>
                  <c:x val="0"/>
                  <c:y val="-0.06"/>
                </c:manualLayout>
              </c:layout>
              <c:tx>
                <c:rich>
                  <a:bodyPr/>
                  <a:lstStyle/>
                  <a:p>
                    <a:pPr>
                      <a:defRPr sz="1000" b="1">
                        <a:solidFill>
                          <a:srgbClr val="A31F34"/>
                        </a:solidFill>
                      </a:defRPr>
                    </a:pPr>
                    <a:fld id="{D8228EAC-84BA-452D-B17C-0680E6E0D2C0}"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14-4DB6-B7B5-B5D3F7D6BF20}"/>
                </c:ext>
              </c:extLst>
            </c:dLbl>
            <c:dLbl>
              <c:idx val="9"/>
              <c:layout>
                <c:manualLayout>
                  <c:x val="0"/>
                  <c:y val="-0.06"/>
                </c:manualLayout>
              </c:layout>
              <c:tx>
                <c:rich>
                  <a:bodyPr/>
                  <a:lstStyle/>
                  <a:p>
                    <a:pPr>
                      <a:defRPr sz="1000" b="1">
                        <a:solidFill>
                          <a:srgbClr val="A31F34"/>
                        </a:solidFill>
                      </a:defRPr>
                    </a:pPr>
                    <a:fld id="{CE26BFFA-F532-4FCD-B6A1-9DAB53C9F91D}"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14-4DB6-B7B5-B5D3F7D6BF20}"/>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Market'!$L$4:$L$13</c:f>
              <c:numCache>
                <c:formatCode>#,##0</c:formatCode>
                <c:ptCount val="10"/>
                <c:pt idx="0">
                  <c:v>265.69600000000003</c:v>
                </c:pt>
                <c:pt idx="1">
                  <c:v>282.90800000000002</c:v>
                </c:pt>
                <c:pt idx="2">
                  <c:v>287.10000000000002</c:v>
                </c:pt>
                <c:pt idx="3">
                  <c:v>309.399</c:v>
                </c:pt>
                <c:pt idx="4">
                  <c:v>328.83300000000003</c:v>
                </c:pt>
                <c:pt idx="5">
                  <c:v>344.99</c:v>
                </c:pt>
                <c:pt idx="6">
                  <c:v>395.35700000000003</c:v>
                </c:pt>
                <c:pt idx="7">
                  <c:v>444.70499999999998</c:v>
                </c:pt>
                <c:pt idx="8">
                  <c:v>485.291</c:v>
                </c:pt>
                <c:pt idx="9">
                  <c:v>534.96699999999998</c:v>
                </c:pt>
              </c:numCache>
            </c:numRef>
          </c:val>
          <c:extLst>
            <c:ext xmlns:c15="http://schemas.microsoft.com/office/drawing/2012/chart" uri="{02D57815-91ED-43cb-92C2-25804820EDAC}">
              <c15:datalabelsRange>
                <c15:f>'FR vs Market'!$AE$4:$AE$13</c15:f>
                <c15:dlblRangeCache>
                  <c:ptCount val="10"/>
                  <c:pt idx="1">
                    <c:v>+6%</c:v>
                  </c:pt>
                  <c:pt idx="2">
                    <c:v>+1%</c:v>
                  </c:pt>
                  <c:pt idx="3">
                    <c:v>+8%</c:v>
                  </c:pt>
                  <c:pt idx="4">
                    <c:v>+6%</c:v>
                  </c:pt>
                  <c:pt idx="5">
                    <c:v>+5%</c:v>
                  </c:pt>
                  <c:pt idx="6">
                    <c:v>+15%</c:v>
                  </c:pt>
                  <c:pt idx="7">
                    <c:v>+12%</c:v>
                  </c:pt>
                  <c:pt idx="8">
                    <c:v>+9%</c:v>
                  </c:pt>
                  <c:pt idx="9">
                    <c:v>+10%</c:v>
                  </c:pt>
                </c15:dlblRangeCache>
              </c15:datalabelsRange>
            </c:ext>
            <c:ext xmlns:c16="http://schemas.microsoft.com/office/drawing/2014/chart" uri="{C3380CC4-5D6E-409C-BE32-E72D297353CC}">
              <c16:uniqueId val="{00000013-C514-4DB6-B7B5-B5D3F7D6BF20}"/>
            </c:ext>
          </c:extLst>
        </c:ser>
        <c:ser>
          <c:idx val="1"/>
          <c:order val="1"/>
          <c:tx>
            <c:v>Stabilized TEV less NOI ($M)</c:v>
          </c:tx>
          <c:spPr>
            <a:solidFill>
              <a:srgbClr val="D9D9D9"/>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Market'!$Q$4:$Q$13</c:f>
              <c:numCache>
                <c:formatCode>#,##0</c:formatCode>
                <c:ptCount val="10"/>
                <c:pt idx="0">
                  <c:v>3617.6737440500006</c:v>
                </c:pt>
                <c:pt idx="1">
                  <c:v>3938.6633894700003</c:v>
                </c:pt>
                <c:pt idx="2">
                  <c:v>3907.3549182800002</c:v>
                </c:pt>
                <c:pt idx="3">
                  <c:v>5498.4958852200007</c:v>
                </c:pt>
                <c:pt idx="4">
                  <c:v>5651.5676600200004</c:v>
                </c:pt>
                <c:pt idx="5">
                  <c:v>8554.8168336000017</c:v>
                </c:pt>
                <c:pt idx="6">
                  <c:v>6295.4822019399999</c:v>
                </c:pt>
                <c:pt idx="7">
                  <c:v>6922.8286346800005</c:v>
                </c:pt>
                <c:pt idx="8">
                  <c:v>6592.0816472699998</c:v>
                </c:pt>
                <c:pt idx="9">
                  <c:v>7742.7269797800009</c:v>
                </c:pt>
              </c:numCache>
            </c:numRef>
          </c:val>
          <c:extLst>
            <c:ext xmlns:c16="http://schemas.microsoft.com/office/drawing/2014/chart" uri="{C3380CC4-5D6E-409C-BE32-E72D297353CC}">
              <c16:uniqueId val="{00000014-C514-4DB6-B7B5-B5D3F7D6BF20}"/>
            </c:ext>
          </c:extLst>
        </c:ser>
        <c:dLbls>
          <c:showLegendKey val="0"/>
          <c:showVal val="0"/>
          <c:showCatName val="0"/>
          <c:showSerName val="0"/>
          <c:showPercent val="0"/>
          <c:showBubbleSize val="0"/>
        </c:dLbls>
        <c:gapWidth val="150"/>
        <c:overlap val="100"/>
        <c:axId val="1158397"/>
        <c:axId val="43687618"/>
      </c:barChart>
      <c:lineChart>
        <c:grouping val="stacked"/>
        <c:varyColors val="0"/>
        <c:ser>
          <c:idx val="2"/>
          <c:order val="2"/>
          <c:tx>
            <c:v>Gross NOI Multiple (right)</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Market'!$J$4:$J$13</c:f>
              <c:numCache>
                <c:formatCode>0.0\x</c:formatCode>
                <c:ptCount val="10"/>
                <c:pt idx="0">
                  <c:v>14.615838191203482</c:v>
                </c:pt>
                <c:pt idx="1">
                  <c:v>14.922064379480256</c:v>
                </c:pt>
                <c:pt idx="2">
                  <c:v>14.609734999233716</c:v>
                </c:pt>
                <c:pt idx="3">
                  <c:v>18.771537352156926</c:v>
                </c:pt>
                <c:pt idx="4">
                  <c:v>18.186741172631699</c:v>
                </c:pt>
                <c:pt idx="5">
                  <c:v>25.797289294182445</c:v>
                </c:pt>
                <c:pt idx="6">
                  <c:v>16.923537971858345</c:v>
                </c:pt>
                <c:pt idx="7">
                  <c:v>16.567238134673548</c:v>
                </c:pt>
                <c:pt idx="8">
                  <c:v>14.5837706598103</c:v>
                </c:pt>
                <c:pt idx="9">
                  <c:v>15.473279622444002</c:v>
                </c:pt>
              </c:numCache>
            </c:numRef>
          </c:val>
          <c:smooth val="0"/>
          <c:extLst>
            <c:ext xmlns:c16="http://schemas.microsoft.com/office/drawing/2014/chart" uri="{C3380CC4-5D6E-409C-BE32-E72D297353CC}">
              <c16:uniqueId val="{00000015-C514-4DB6-B7B5-B5D3F7D6BF20}"/>
            </c:ext>
          </c:extLst>
        </c:ser>
        <c:dLbls>
          <c:showLegendKey val="0"/>
          <c:showVal val="0"/>
          <c:showCatName val="0"/>
          <c:showSerName val="0"/>
          <c:showPercent val="0"/>
          <c:showBubbleSize val="0"/>
        </c:dLbls>
        <c:hiLowLines>
          <c:spPr>
            <a:ln w="0">
              <a:noFill/>
            </a:ln>
          </c:spPr>
        </c:hiLowLines>
        <c:marker val="1"/>
        <c:smooth val="0"/>
        <c:axId val="67449452"/>
        <c:axId val="30928003"/>
      </c:lineChart>
      <c:catAx>
        <c:axId val="1158397"/>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43687618"/>
        <c:crosses val="autoZero"/>
        <c:auto val="1"/>
        <c:lblAlgn val="ctr"/>
        <c:lblOffset val="100"/>
        <c:noMultiLvlLbl val="0"/>
      </c:catAx>
      <c:valAx>
        <c:axId val="43687618"/>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158397"/>
        <c:crosses val="autoZero"/>
        <c:crossBetween val="between"/>
      </c:valAx>
      <c:catAx>
        <c:axId val="67449452"/>
        <c:scaling>
          <c:orientation val="minMax"/>
        </c:scaling>
        <c:delete val="1"/>
        <c:axPos val="b"/>
        <c:numFmt formatCode="General" sourceLinked="1"/>
        <c:majorTickMark val="none"/>
        <c:minorTickMark val="none"/>
        <c:tickLblPos val="nextTo"/>
        <c:crossAx val="30928003"/>
        <c:crosses val="autoZero"/>
        <c:auto val="1"/>
        <c:lblAlgn val="ctr"/>
        <c:lblOffset val="100"/>
        <c:noMultiLvlLbl val="0"/>
      </c:catAx>
      <c:valAx>
        <c:axId val="30928003"/>
        <c:scaling>
          <c:orientation val="minMax"/>
        </c:scaling>
        <c:delete val="0"/>
        <c:axPos val="r"/>
        <c:numFmt formatCode="0.0\x"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7449452"/>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Bank Prime Loan Rate</c:v>
          </c:tx>
          <c:spPr>
            <a:ln w="28440">
              <a:solidFill>
                <a:srgbClr val="8A8A8A"/>
              </a:solidFill>
              <a:round/>
            </a:ln>
          </c:spPr>
          <c:marker>
            <c:symbol val="triangle"/>
            <c:size val="5"/>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Market'!$P$4:$P$13</c:f>
              <c:numCache>
                <c:formatCode>0.00%</c:formatCode>
                <c:ptCount val="10"/>
                <c:pt idx="0">
                  <c:v>3.5099999999999999E-2</c:v>
                </c:pt>
                <c:pt idx="1">
                  <c:v>4.0999999999999995E-2</c:v>
                </c:pt>
                <c:pt idx="2">
                  <c:v>4.9000000000000002E-2</c:v>
                </c:pt>
                <c:pt idx="3">
                  <c:v>5.28E-2</c:v>
                </c:pt>
                <c:pt idx="4">
                  <c:v>3.5400000000000001E-2</c:v>
                </c:pt>
                <c:pt idx="5">
                  <c:v>3.2500000000000001E-2</c:v>
                </c:pt>
                <c:pt idx="6">
                  <c:v>4.8499999999999995E-2</c:v>
                </c:pt>
                <c:pt idx="7">
                  <c:v>8.1900000000000001E-2</c:v>
                </c:pt>
                <c:pt idx="8">
                  <c:v>8.3100000000000007E-2</c:v>
                </c:pt>
                <c:pt idx="9">
                  <c:v>7.3700000000000002E-2</c:v>
                </c:pt>
              </c:numCache>
            </c:numRef>
          </c:yVal>
          <c:smooth val="0"/>
          <c:extLst>
            <c:ext xmlns:c16="http://schemas.microsoft.com/office/drawing/2014/chart" uri="{C3380CC4-5D6E-409C-BE32-E72D297353CC}">
              <c16:uniqueId val="{00000000-7BC6-41EE-9011-B8CDD6F4BF4B}"/>
            </c:ext>
          </c:extLst>
        </c:ser>
        <c:ser>
          <c:idx val="1"/>
          <c:order val="1"/>
          <c:tx>
            <c:v>CPI Inflation (annual avg, YoY)</c:v>
          </c:tx>
          <c:spPr>
            <a:ln w="28440">
              <a:solidFill>
                <a:srgbClr val="C08A00"/>
              </a:solidFill>
              <a:round/>
            </a:ln>
          </c:spPr>
          <c:marker>
            <c:symbol val="diamond"/>
            <c:size val="5"/>
            <c:spPr>
              <a:solidFill>
                <a:srgbClr val="C08A00"/>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Market'!$S$4:$S$13</c:f>
              <c:numCache>
                <c:formatCode>0.0%</c:formatCode>
                <c:ptCount val="10"/>
                <c:pt idx="0">
                  <c:v>1.2670779149543066E-2</c:v>
                </c:pt>
                <c:pt idx="1">
                  <c:v>2.1316222578696253E-2</c:v>
                </c:pt>
                <c:pt idx="2">
                  <c:v>2.4392034954165531E-2</c:v>
                </c:pt>
                <c:pt idx="3">
                  <c:v>1.8132218239745201E-2</c:v>
                </c:pt>
                <c:pt idx="4">
                  <c:v>1.2528701012700871E-2</c:v>
                </c:pt>
                <c:pt idx="5">
                  <c:v>4.6809809314831474E-2</c:v>
                </c:pt>
                <c:pt idx="6">
                  <c:v>7.9908330350256129E-2</c:v>
                </c:pt>
                <c:pt idx="7">
                  <c:v>4.1271110564338187E-2</c:v>
                </c:pt>
                <c:pt idx="8">
                  <c:v>2.9520549518711636E-2</c:v>
                </c:pt>
                <c:pt idx="9">
                  <c:v>2.6343808376209088E-2</c:v>
                </c:pt>
              </c:numCache>
            </c:numRef>
          </c:yVal>
          <c:smooth val="0"/>
          <c:extLst>
            <c:ext xmlns:c16="http://schemas.microsoft.com/office/drawing/2014/chart" uri="{C3380CC4-5D6E-409C-BE32-E72D297353CC}">
              <c16:uniqueId val="{00000001-7BC6-41EE-9011-B8CDD6F4BF4B}"/>
            </c:ext>
          </c:extLst>
        </c:ser>
        <c:dLbls>
          <c:showLegendKey val="0"/>
          <c:showVal val="0"/>
          <c:showCatName val="0"/>
          <c:showSerName val="0"/>
          <c:showPercent val="0"/>
          <c:showBubbleSize val="0"/>
        </c:dLbls>
        <c:axId val="67720718"/>
        <c:axId val="80403379"/>
      </c:scatterChart>
      <c:valAx>
        <c:axId val="67720718"/>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80403379"/>
        <c:crosses val="autoZero"/>
        <c:crossBetween val="midCat"/>
        <c:majorUnit val="1"/>
      </c:valAx>
      <c:valAx>
        <c:axId val="80403379"/>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7720718"/>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9.0036093910394396E-2"/>
          <c:y val="0.20016937408576499"/>
          <c:w val="0.81956356170734102"/>
          <c:h val="0.55962737701131704"/>
        </c:manualLayout>
      </c:layout>
      <c:barChart>
        <c:barDir val="col"/>
        <c:grouping val="stacked"/>
        <c:varyColors val="0"/>
        <c:ser>
          <c:idx val="0"/>
          <c:order val="0"/>
          <c:tx>
            <c:v>Leveraged Property Cash Flow ($M)</c:v>
          </c:tx>
          <c:spPr>
            <a:solidFill>
              <a:srgbClr val="A31F34"/>
            </a:solidFill>
            <a:ln w="0">
              <a:noFill/>
            </a:ln>
          </c:spPr>
          <c:invertIfNegative val="0"/>
          <c:dPt>
            <c:idx val="1"/>
            <c:invertIfNegative val="0"/>
            <c:bubble3D val="0"/>
            <c:spPr>
              <a:solidFill>
                <a:srgbClr val="A31F34"/>
              </a:solidFill>
              <a:ln w="0">
                <a:noFill/>
              </a:ln>
            </c:spPr>
            <c:extLst>
              <c:ext xmlns:c16="http://schemas.microsoft.com/office/drawing/2014/chart" uri="{C3380CC4-5D6E-409C-BE32-E72D297353CC}">
                <c16:uniqueId val="{00000001-2FFA-487C-BEB7-A84D619519F6}"/>
              </c:ext>
            </c:extLst>
          </c:dPt>
          <c:dPt>
            <c:idx val="2"/>
            <c:invertIfNegative val="0"/>
            <c:bubble3D val="0"/>
            <c:spPr>
              <a:solidFill>
                <a:srgbClr val="A31F34"/>
              </a:solidFill>
              <a:ln w="0">
                <a:noFill/>
              </a:ln>
            </c:spPr>
            <c:extLst>
              <c:ext xmlns:c16="http://schemas.microsoft.com/office/drawing/2014/chart" uri="{C3380CC4-5D6E-409C-BE32-E72D297353CC}">
                <c16:uniqueId val="{00000003-2FFA-487C-BEB7-A84D619519F6}"/>
              </c:ext>
            </c:extLst>
          </c:dPt>
          <c:dPt>
            <c:idx val="3"/>
            <c:invertIfNegative val="0"/>
            <c:bubble3D val="0"/>
            <c:spPr>
              <a:solidFill>
                <a:srgbClr val="A31F34"/>
              </a:solidFill>
              <a:ln w="0">
                <a:noFill/>
              </a:ln>
            </c:spPr>
            <c:extLst>
              <c:ext xmlns:c16="http://schemas.microsoft.com/office/drawing/2014/chart" uri="{C3380CC4-5D6E-409C-BE32-E72D297353CC}">
                <c16:uniqueId val="{00000005-2FFA-487C-BEB7-A84D619519F6}"/>
              </c:ext>
            </c:extLst>
          </c:dPt>
          <c:dPt>
            <c:idx val="4"/>
            <c:invertIfNegative val="0"/>
            <c:bubble3D val="0"/>
            <c:spPr>
              <a:solidFill>
                <a:srgbClr val="A31F34"/>
              </a:solidFill>
              <a:ln w="0">
                <a:noFill/>
              </a:ln>
            </c:spPr>
            <c:extLst>
              <c:ext xmlns:c16="http://schemas.microsoft.com/office/drawing/2014/chart" uri="{C3380CC4-5D6E-409C-BE32-E72D297353CC}">
                <c16:uniqueId val="{00000007-2FFA-487C-BEB7-A84D619519F6}"/>
              </c:ext>
            </c:extLst>
          </c:dPt>
          <c:dPt>
            <c:idx val="5"/>
            <c:invertIfNegative val="0"/>
            <c:bubble3D val="0"/>
            <c:spPr>
              <a:solidFill>
                <a:srgbClr val="A31F34"/>
              </a:solidFill>
              <a:ln w="0">
                <a:noFill/>
              </a:ln>
            </c:spPr>
            <c:extLst>
              <c:ext xmlns:c16="http://schemas.microsoft.com/office/drawing/2014/chart" uri="{C3380CC4-5D6E-409C-BE32-E72D297353CC}">
                <c16:uniqueId val="{00000009-2FFA-487C-BEB7-A84D619519F6}"/>
              </c:ext>
            </c:extLst>
          </c:dPt>
          <c:dPt>
            <c:idx val="6"/>
            <c:invertIfNegative val="0"/>
            <c:bubble3D val="0"/>
            <c:spPr>
              <a:solidFill>
                <a:srgbClr val="A31F34"/>
              </a:solidFill>
              <a:ln w="0">
                <a:noFill/>
              </a:ln>
            </c:spPr>
            <c:extLst>
              <c:ext xmlns:c16="http://schemas.microsoft.com/office/drawing/2014/chart" uri="{C3380CC4-5D6E-409C-BE32-E72D297353CC}">
                <c16:uniqueId val="{0000000B-2FFA-487C-BEB7-A84D619519F6}"/>
              </c:ext>
            </c:extLst>
          </c:dPt>
          <c:dPt>
            <c:idx val="7"/>
            <c:invertIfNegative val="0"/>
            <c:bubble3D val="0"/>
            <c:spPr>
              <a:solidFill>
                <a:srgbClr val="A31F34"/>
              </a:solidFill>
              <a:ln w="0">
                <a:noFill/>
              </a:ln>
            </c:spPr>
            <c:extLst>
              <c:ext xmlns:c16="http://schemas.microsoft.com/office/drawing/2014/chart" uri="{C3380CC4-5D6E-409C-BE32-E72D297353CC}">
                <c16:uniqueId val="{0000000D-2FFA-487C-BEB7-A84D619519F6}"/>
              </c:ext>
            </c:extLst>
          </c:dPt>
          <c:dPt>
            <c:idx val="8"/>
            <c:invertIfNegative val="0"/>
            <c:bubble3D val="0"/>
            <c:spPr>
              <a:solidFill>
                <a:srgbClr val="A31F34"/>
              </a:solidFill>
              <a:ln w="0">
                <a:noFill/>
              </a:ln>
            </c:spPr>
            <c:extLst>
              <c:ext xmlns:c16="http://schemas.microsoft.com/office/drawing/2014/chart" uri="{C3380CC4-5D6E-409C-BE32-E72D297353CC}">
                <c16:uniqueId val="{0000000F-2FFA-487C-BEB7-A84D619519F6}"/>
              </c:ext>
            </c:extLst>
          </c:dPt>
          <c:dPt>
            <c:idx val="9"/>
            <c:invertIfNegative val="0"/>
            <c:bubble3D val="0"/>
            <c:spPr>
              <a:solidFill>
                <a:srgbClr val="A31F34"/>
              </a:solidFill>
              <a:ln w="0">
                <a:noFill/>
              </a:ln>
            </c:spPr>
            <c:extLst>
              <c:ext xmlns:c16="http://schemas.microsoft.com/office/drawing/2014/chart" uri="{C3380CC4-5D6E-409C-BE32-E72D297353CC}">
                <c16:uniqueId val="{00000011-2FFA-487C-BEB7-A84D619519F6}"/>
              </c:ext>
            </c:extLst>
          </c:dPt>
          <c:dLbls>
            <c:dLbl>
              <c:idx val="0"/>
              <c:delete val="1"/>
              <c:extLst>
                <c:ext xmlns:c15="http://schemas.microsoft.com/office/drawing/2012/chart" uri="{CE6537A1-D6FC-4f65-9D91-7224C49458BB}"/>
                <c:ext xmlns:c16="http://schemas.microsoft.com/office/drawing/2014/chart" uri="{C3380CC4-5D6E-409C-BE32-E72D297353CC}">
                  <c16:uniqueId val="{00000012-2FFA-487C-BEB7-A84D619519F6}"/>
                </c:ext>
              </c:extLst>
            </c:dLbl>
            <c:dLbl>
              <c:idx val="1"/>
              <c:layout>
                <c:manualLayout>
                  <c:x val="0"/>
                  <c:y val="-0.06"/>
                </c:manualLayout>
              </c:layout>
              <c:tx>
                <c:rich>
                  <a:bodyPr/>
                  <a:lstStyle/>
                  <a:p>
                    <a:pPr>
                      <a:defRPr sz="1000" b="1">
                        <a:solidFill>
                          <a:srgbClr val="A31F34"/>
                        </a:solidFill>
                      </a:defRPr>
                    </a:pPr>
                    <a:fld id="{AAAB12DB-51B1-451D-8721-52F3AB666D82}"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FFA-487C-BEB7-A84D619519F6}"/>
                </c:ext>
              </c:extLst>
            </c:dLbl>
            <c:dLbl>
              <c:idx val="2"/>
              <c:layout>
                <c:manualLayout>
                  <c:x val="0"/>
                  <c:y val="-0.06"/>
                </c:manualLayout>
              </c:layout>
              <c:tx>
                <c:rich>
                  <a:bodyPr/>
                  <a:lstStyle/>
                  <a:p>
                    <a:pPr>
                      <a:defRPr sz="1000" b="1">
                        <a:solidFill>
                          <a:srgbClr val="A31F34"/>
                        </a:solidFill>
                      </a:defRPr>
                    </a:pPr>
                    <a:fld id="{8412B35E-7A06-4F63-BB1D-41AB78000ED3}"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FFA-487C-BEB7-A84D619519F6}"/>
                </c:ext>
              </c:extLst>
            </c:dLbl>
            <c:dLbl>
              <c:idx val="3"/>
              <c:layout>
                <c:manualLayout>
                  <c:x val="0"/>
                  <c:y val="-0.06"/>
                </c:manualLayout>
              </c:layout>
              <c:tx>
                <c:rich>
                  <a:bodyPr/>
                  <a:lstStyle/>
                  <a:p>
                    <a:pPr>
                      <a:defRPr sz="1000" b="1">
                        <a:solidFill>
                          <a:srgbClr val="A31F34"/>
                        </a:solidFill>
                      </a:defRPr>
                    </a:pPr>
                    <a:fld id="{3353934D-8AD4-4456-8E22-910F781207DF}"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FFA-487C-BEB7-A84D619519F6}"/>
                </c:ext>
              </c:extLst>
            </c:dLbl>
            <c:dLbl>
              <c:idx val="4"/>
              <c:layout>
                <c:manualLayout>
                  <c:x val="0"/>
                  <c:y val="-0.06"/>
                </c:manualLayout>
              </c:layout>
              <c:tx>
                <c:rich>
                  <a:bodyPr/>
                  <a:lstStyle/>
                  <a:p>
                    <a:pPr>
                      <a:defRPr sz="1000" b="1">
                        <a:solidFill>
                          <a:srgbClr val="A31F34"/>
                        </a:solidFill>
                      </a:defRPr>
                    </a:pPr>
                    <a:fld id="{420C89D1-5A38-442D-B630-C70D4C30BA40}"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FFA-487C-BEB7-A84D619519F6}"/>
                </c:ext>
              </c:extLst>
            </c:dLbl>
            <c:dLbl>
              <c:idx val="5"/>
              <c:layout>
                <c:manualLayout>
                  <c:x val="0"/>
                  <c:y val="-0.06"/>
                </c:manualLayout>
              </c:layout>
              <c:tx>
                <c:rich>
                  <a:bodyPr/>
                  <a:lstStyle/>
                  <a:p>
                    <a:pPr>
                      <a:defRPr sz="1000" b="1">
                        <a:solidFill>
                          <a:srgbClr val="A31F34"/>
                        </a:solidFill>
                      </a:defRPr>
                    </a:pPr>
                    <a:fld id="{38ADEC7A-6342-4A94-B162-20EF26C99950}"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FFA-487C-BEB7-A84D619519F6}"/>
                </c:ext>
              </c:extLst>
            </c:dLbl>
            <c:dLbl>
              <c:idx val="6"/>
              <c:layout>
                <c:manualLayout>
                  <c:x val="0"/>
                  <c:y val="-0.06"/>
                </c:manualLayout>
              </c:layout>
              <c:tx>
                <c:rich>
                  <a:bodyPr/>
                  <a:lstStyle/>
                  <a:p>
                    <a:pPr>
                      <a:defRPr sz="1000" b="1">
                        <a:solidFill>
                          <a:srgbClr val="A31F34"/>
                        </a:solidFill>
                      </a:defRPr>
                    </a:pPr>
                    <a:fld id="{21919C7C-2E6F-4DB0-9D87-D26E92A42A49}"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FFA-487C-BEB7-A84D619519F6}"/>
                </c:ext>
              </c:extLst>
            </c:dLbl>
            <c:dLbl>
              <c:idx val="7"/>
              <c:layout>
                <c:manualLayout>
                  <c:x val="0"/>
                  <c:y val="-0.06"/>
                </c:manualLayout>
              </c:layout>
              <c:tx>
                <c:rich>
                  <a:bodyPr/>
                  <a:lstStyle/>
                  <a:p>
                    <a:pPr>
                      <a:defRPr sz="1000" b="1">
                        <a:solidFill>
                          <a:srgbClr val="A31F34"/>
                        </a:solidFill>
                      </a:defRPr>
                    </a:pPr>
                    <a:fld id="{57DDD42E-EB15-46D9-B479-33C1EF3422BA}"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FFA-487C-BEB7-A84D619519F6}"/>
                </c:ext>
              </c:extLst>
            </c:dLbl>
            <c:dLbl>
              <c:idx val="8"/>
              <c:layout>
                <c:manualLayout>
                  <c:x val="0"/>
                  <c:y val="-0.06"/>
                </c:manualLayout>
              </c:layout>
              <c:tx>
                <c:rich>
                  <a:bodyPr/>
                  <a:lstStyle/>
                  <a:p>
                    <a:pPr>
                      <a:defRPr sz="1000" b="1">
                        <a:solidFill>
                          <a:srgbClr val="A31F34"/>
                        </a:solidFill>
                      </a:defRPr>
                    </a:pPr>
                    <a:fld id="{96162A6C-E267-4AEE-8D65-FA0CD2C216DC}"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FFA-487C-BEB7-A84D619519F6}"/>
                </c:ext>
              </c:extLst>
            </c:dLbl>
            <c:dLbl>
              <c:idx val="9"/>
              <c:layout>
                <c:manualLayout>
                  <c:x val="0"/>
                  <c:y val="-0.06"/>
                </c:manualLayout>
              </c:layout>
              <c:tx>
                <c:rich>
                  <a:bodyPr/>
                  <a:lstStyle/>
                  <a:p>
                    <a:pPr>
                      <a:defRPr sz="1000" b="1">
                        <a:solidFill>
                          <a:srgbClr val="A31F34"/>
                        </a:solidFill>
                      </a:defRPr>
                    </a:pPr>
                    <a:fld id="{41BEBFCB-B675-4CB6-8215-153BEF2C184F}"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2FFA-487C-BEB7-A84D619519F6}"/>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Market'!$N$4:$N$13</c:f>
              <c:numCache>
                <c:formatCode>#,##0</c:formatCode>
                <c:ptCount val="10"/>
                <c:pt idx="0">
                  <c:v>206.26600000000002</c:v>
                </c:pt>
                <c:pt idx="1">
                  <c:v>225.709</c:v>
                </c:pt>
                <c:pt idx="2">
                  <c:v>236.32500000000002</c:v>
                </c:pt>
                <c:pt idx="3">
                  <c:v>259.12599999999998</c:v>
                </c:pt>
                <c:pt idx="4">
                  <c:v>277.54000000000002</c:v>
                </c:pt>
                <c:pt idx="5">
                  <c:v>300.887</c:v>
                </c:pt>
                <c:pt idx="6">
                  <c:v>346.34400000000005</c:v>
                </c:pt>
                <c:pt idx="7">
                  <c:v>370.37</c:v>
                </c:pt>
                <c:pt idx="8">
                  <c:v>402.31799999999998</c:v>
                </c:pt>
                <c:pt idx="9">
                  <c:v>450.08100000000002</c:v>
                </c:pt>
              </c:numCache>
            </c:numRef>
          </c:val>
          <c:extLst>
            <c:ext xmlns:c15="http://schemas.microsoft.com/office/drawing/2012/chart" uri="{02D57815-91ED-43cb-92C2-25804820EDAC}">
              <c15:datalabelsRange>
                <c15:f>'FR vs Market'!$AF$4:$AF$13</c15:f>
                <c15:dlblRangeCache>
                  <c:ptCount val="10"/>
                  <c:pt idx="1">
                    <c:v>+9%</c:v>
                  </c:pt>
                  <c:pt idx="2">
                    <c:v>+5%</c:v>
                  </c:pt>
                  <c:pt idx="3">
                    <c:v>+10%</c:v>
                  </c:pt>
                  <c:pt idx="4">
                    <c:v>+7%</c:v>
                  </c:pt>
                  <c:pt idx="5">
                    <c:v>+8%</c:v>
                  </c:pt>
                  <c:pt idx="6">
                    <c:v>+15%</c:v>
                  </c:pt>
                  <c:pt idx="7">
                    <c:v>+7%</c:v>
                  </c:pt>
                  <c:pt idx="8">
                    <c:v>+9%</c:v>
                  </c:pt>
                  <c:pt idx="9">
                    <c:v>+12%</c:v>
                  </c:pt>
                </c15:dlblRangeCache>
              </c15:datalabelsRange>
            </c:ext>
            <c:ext xmlns:c16="http://schemas.microsoft.com/office/drawing/2014/chart" uri="{C3380CC4-5D6E-409C-BE32-E72D297353CC}">
              <c16:uniqueId val="{00000013-2FFA-487C-BEB7-A84D619519F6}"/>
            </c:ext>
          </c:extLst>
        </c:ser>
        <c:ser>
          <c:idx val="1"/>
          <c:order val="1"/>
          <c:tx>
            <c:v>Stabilized Market Cap less Leveraged CF ($M)</c:v>
          </c:tx>
          <c:spPr>
            <a:solidFill>
              <a:srgbClr val="D9D9D9"/>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Market'!$R$4:$R$13</c:f>
              <c:numCache>
                <c:formatCode>#,##0</c:formatCode>
                <c:ptCount val="10"/>
                <c:pt idx="0">
                  <c:v>2330.0117440500003</c:v>
                </c:pt>
                <c:pt idx="1">
                  <c:v>2698.8653894700001</c:v>
                </c:pt>
                <c:pt idx="2">
                  <c:v>2515.8469182800004</c:v>
                </c:pt>
                <c:pt idx="3">
                  <c:v>4065.2038852200003</c:v>
                </c:pt>
                <c:pt idx="4">
                  <c:v>4108.2196600200004</c:v>
                </c:pt>
                <c:pt idx="5">
                  <c:v>6988.8998336000013</c:v>
                </c:pt>
                <c:pt idx="6">
                  <c:v>4278.1942019399994</c:v>
                </c:pt>
                <c:pt idx="7">
                  <c:v>4772.8596346800005</c:v>
                </c:pt>
                <c:pt idx="8">
                  <c:v>4465.7516472699999</c:v>
                </c:pt>
                <c:pt idx="9">
                  <c:v>5274.2169797800007</c:v>
                </c:pt>
              </c:numCache>
            </c:numRef>
          </c:val>
          <c:extLst>
            <c:ext xmlns:c16="http://schemas.microsoft.com/office/drawing/2014/chart" uri="{C3380CC4-5D6E-409C-BE32-E72D297353CC}">
              <c16:uniqueId val="{00000014-2FFA-487C-BEB7-A84D619519F6}"/>
            </c:ext>
          </c:extLst>
        </c:ser>
        <c:dLbls>
          <c:showLegendKey val="0"/>
          <c:showVal val="0"/>
          <c:showCatName val="0"/>
          <c:showSerName val="0"/>
          <c:showPercent val="0"/>
          <c:showBubbleSize val="0"/>
        </c:dLbls>
        <c:gapWidth val="150"/>
        <c:overlap val="100"/>
        <c:axId val="60430193"/>
        <c:axId val="6547986"/>
      </c:barChart>
      <c:lineChart>
        <c:grouping val="stacked"/>
        <c:varyColors val="0"/>
        <c:ser>
          <c:idx val="2"/>
          <c:order val="2"/>
          <c:tx>
            <c:v>Leveraged NOI Multiple (right)</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'FR vs Market'!$K$4:$K$13</c:f>
              <c:numCache>
                <c:formatCode>0.0\x</c:formatCode>
                <c:ptCount val="10"/>
                <c:pt idx="0">
                  <c:v>12.296150330398612</c:v>
                </c:pt>
                <c:pt idx="1">
                  <c:v>12.957278573162789</c:v>
                </c:pt>
                <c:pt idx="2">
                  <c:v>11.645707894975141</c:v>
                </c:pt>
                <c:pt idx="3">
                  <c:v>16.688135830522608</c:v>
                </c:pt>
                <c:pt idx="4">
                  <c:v>15.80226151192621</c:v>
                </c:pt>
                <c:pt idx="5">
                  <c:v>24.227656341417212</c:v>
                </c:pt>
                <c:pt idx="6">
                  <c:v>13.352442086307251</c:v>
                </c:pt>
                <c:pt idx="7">
                  <c:v>13.886733900369901</c:v>
                </c:pt>
                <c:pt idx="8">
                  <c:v>12.100054303486298</c:v>
                </c:pt>
                <c:pt idx="9">
                  <c:v>12.718372870172258</c:v>
                </c:pt>
              </c:numCache>
            </c:numRef>
          </c:val>
          <c:smooth val="0"/>
          <c:extLst>
            <c:ext xmlns:c16="http://schemas.microsoft.com/office/drawing/2014/chart" uri="{C3380CC4-5D6E-409C-BE32-E72D297353CC}">
              <c16:uniqueId val="{00000015-2FFA-487C-BEB7-A84D619519F6}"/>
            </c:ext>
          </c:extLst>
        </c:ser>
        <c:dLbls>
          <c:showLegendKey val="0"/>
          <c:showVal val="0"/>
          <c:showCatName val="0"/>
          <c:showSerName val="0"/>
          <c:showPercent val="0"/>
          <c:showBubbleSize val="0"/>
        </c:dLbls>
        <c:hiLowLines>
          <c:spPr>
            <a:ln w="0">
              <a:noFill/>
            </a:ln>
          </c:spPr>
        </c:hiLowLines>
        <c:marker val="1"/>
        <c:smooth val="0"/>
        <c:axId val="19232964"/>
        <c:axId val="37907384"/>
      </c:lineChart>
      <c:catAx>
        <c:axId val="60430193"/>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6547986"/>
        <c:crosses val="autoZero"/>
        <c:auto val="1"/>
        <c:lblAlgn val="ctr"/>
        <c:lblOffset val="100"/>
        <c:noMultiLvlLbl val="0"/>
      </c:catAx>
      <c:valAx>
        <c:axId val="6547986"/>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0430193"/>
        <c:crosses val="autoZero"/>
        <c:crossBetween val="between"/>
      </c:valAx>
      <c:catAx>
        <c:axId val="19232964"/>
        <c:scaling>
          <c:orientation val="minMax"/>
        </c:scaling>
        <c:delete val="1"/>
        <c:axPos val="b"/>
        <c:numFmt formatCode="General" sourceLinked="1"/>
        <c:majorTickMark val="none"/>
        <c:minorTickMark val="none"/>
        <c:tickLblPos val="nextTo"/>
        <c:crossAx val="37907384"/>
        <c:crosses val="autoZero"/>
        <c:auto val="1"/>
        <c:lblAlgn val="ctr"/>
        <c:lblOffset val="100"/>
        <c:noMultiLvlLbl val="0"/>
      </c:catAx>
      <c:valAx>
        <c:axId val="37907384"/>
        <c:scaling>
          <c:orientation val="minMax"/>
        </c:scaling>
        <c:delete val="0"/>
        <c:axPos val="r"/>
        <c:numFmt formatCode="0.0\x"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9232964"/>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FR Implied Cap Rate vs. Private Industrial Cap Rates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FR Implied Cap Rate (public pricing, year-end)</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Market'!$B$4:$B$13</c:f>
              <c:numCache>
                <c:formatCode>0.00%</c:formatCode>
                <c:ptCount val="10"/>
                <c:pt idx="0">
                  <c:v>6.8418929309291915E-2</c:v>
                </c:pt>
                <c:pt idx="1">
                  <c:v>6.7014856293954053E-2</c:v>
                </c:pt>
                <c:pt idx="2">
                  <c:v>6.8447511200747324E-2</c:v>
                </c:pt>
                <c:pt idx="3">
                  <c:v>5.3272141819811894E-2</c:v>
                </c:pt>
                <c:pt idx="4">
                  <c:v>5.4985111983935256E-2</c:v>
                </c:pt>
                <c:pt idx="5">
                  <c:v>3.8763762680504202E-2</c:v>
                </c:pt>
                <c:pt idx="6">
                  <c:v>5.9089299274352129E-2</c:v>
                </c:pt>
                <c:pt idx="7">
                  <c:v>6.0360090913832008E-2</c:v>
                </c:pt>
                <c:pt idx="8">
                  <c:v>6.8569372306147305E-2</c:v>
                </c:pt>
                <c:pt idx="9">
                  <c:v>6.4627540146660264E-2</c:v>
                </c:pt>
              </c:numCache>
            </c:numRef>
          </c:yVal>
          <c:smooth val="0"/>
          <c:extLst>
            <c:ext xmlns:c16="http://schemas.microsoft.com/office/drawing/2014/chart" uri="{C3380CC4-5D6E-409C-BE32-E72D297353CC}">
              <c16:uniqueId val="{00000000-0BEC-42E4-AA42-47602E682341}"/>
            </c:ext>
          </c:extLst>
        </c:ser>
        <c:ser>
          <c:idx val="1"/>
          <c:order val="1"/>
          <c:tx>
            <c:v>Green Street Nominal Cap Rate, 51-Market Wtd Avg (4Q)</c:v>
          </c:tx>
          <c:spPr>
            <a:ln w="28440">
              <a:solidFill>
                <a:srgbClr val="1F3B57"/>
              </a:solidFill>
              <a:round/>
            </a:ln>
          </c:spPr>
          <c:marker>
            <c:symbol val="squar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Market'!$T$4:$T$13</c:f>
              <c:numCache>
                <c:formatCode>0.00%</c:formatCode>
                <c:ptCount val="10"/>
                <c:pt idx="0">
                  <c:v>5.8150930000000003E-2</c:v>
                </c:pt>
                <c:pt idx="1">
                  <c:v>5.5684129999999998E-2</c:v>
                </c:pt>
                <c:pt idx="2">
                  <c:v>5.391642E-2</c:v>
                </c:pt>
                <c:pt idx="3">
                  <c:v>5.0796620000000001E-2</c:v>
                </c:pt>
                <c:pt idx="4">
                  <c:v>4.8337989999999997E-2</c:v>
                </c:pt>
                <c:pt idx="5">
                  <c:v>3.7766719999999997E-2</c:v>
                </c:pt>
                <c:pt idx="6">
                  <c:v>4.6492600000000002E-2</c:v>
                </c:pt>
                <c:pt idx="7">
                  <c:v>5.1572890000000003E-2</c:v>
                </c:pt>
                <c:pt idx="8">
                  <c:v>5.2849069999999998E-2</c:v>
                </c:pt>
                <c:pt idx="9">
                  <c:v>5.4278229999999997E-2</c:v>
                </c:pt>
              </c:numCache>
            </c:numRef>
          </c:yVal>
          <c:smooth val="0"/>
          <c:extLst>
            <c:ext xmlns:c16="http://schemas.microsoft.com/office/drawing/2014/chart" uri="{C3380CC4-5D6E-409C-BE32-E72D297353CC}">
              <c16:uniqueId val="{00000001-0BEC-42E4-AA42-47602E682341}"/>
            </c:ext>
          </c:extLst>
        </c:ser>
        <c:ser>
          <c:idx val="2"/>
          <c:order val="2"/>
          <c:tx>
            <c:v>10-Yr UST Yield</c:v>
          </c:tx>
          <c:spPr>
            <a:ln w="28440">
              <a:solidFill>
                <a:srgbClr val="8A8A8A"/>
              </a:solidFill>
              <a:prstDash val="sysDot"/>
              <a:round/>
            </a:ln>
          </c:spPr>
          <c:marker>
            <c:symbol val="dash"/>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Market'!$C$4:$C$13</c:f>
              <c:numCache>
                <c:formatCode>0.00%</c:formatCode>
                <c:ptCount val="10"/>
                <c:pt idx="0">
                  <c:v>2.4500000000000001E-2</c:v>
                </c:pt>
                <c:pt idx="1">
                  <c:v>2.4E-2</c:v>
                </c:pt>
                <c:pt idx="2">
                  <c:v>2.69E-2</c:v>
                </c:pt>
                <c:pt idx="3">
                  <c:v>1.9199999999999998E-2</c:v>
                </c:pt>
                <c:pt idx="4">
                  <c:v>9.300000000000001E-3</c:v>
                </c:pt>
                <c:pt idx="5">
                  <c:v>1.52E-2</c:v>
                </c:pt>
                <c:pt idx="6">
                  <c:v>3.8800000000000001E-2</c:v>
                </c:pt>
                <c:pt idx="7">
                  <c:v>3.8800000000000001E-2</c:v>
                </c:pt>
                <c:pt idx="8">
                  <c:v>4.58E-2</c:v>
                </c:pt>
                <c:pt idx="9">
                  <c:v>4.1799999999999997E-2</c:v>
                </c:pt>
              </c:numCache>
            </c:numRef>
          </c:yVal>
          <c:smooth val="0"/>
          <c:extLst>
            <c:ext xmlns:c16="http://schemas.microsoft.com/office/drawing/2014/chart" uri="{C3380CC4-5D6E-409C-BE32-E72D297353CC}">
              <c16:uniqueId val="{00000002-0BEC-42E4-AA42-47602E682341}"/>
            </c:ext>
          </c:extLst>
        </c:ser>
        <c:dLbls>
          <c:showLegendKey val="0"/>
          <c:showVal val="0"/>
          <c:showCatName val="0"/>
          <c:showSerName val="0"/>
          <c:showPercent val="0"/>
          <c:showBubbleSize val="0"/>
        </c:dLbls>
        <c:axId val="25943265"/>
        <c:axId val="1533836"/>
      </c:scatterChart>
      <c:valAx>
        <c:axId val="25943265"/>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1533836"/>
        <c:crosses val="autoZero"/>
        <c:crossBetween val="midCat"/>
        <c:majorUnit val="1"/>
      </c:valAx>
      <c:valAx>
        <c:axId val="1533836"/>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5943265"/>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Industrial Values vs. Construction Costs vs. CPI, Indexed to 2016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Industrial Property Values (Green Street CPPI)</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Market'!$U$4:$U$13</c:f>
              <c:numCache>
                <c:formatCode>0.0</c:formatCode>
                <c:ptCount val="10"/>
                <c:pt idx="0">
                  <c:v>100</c:v>
                </c:pt>
                <c:pt idx="1">
                  <c:v>109.44425857524243</c:v>
                </c:pt>
                <c:pt idx="2">
                  <c:v>121.46241901260227</c:v>
                </c:pt>
                <c:pt idx="3">
                  <c:v>137.28576583568642</c:v>
                </c:pt>
                <c:pt idx="4">
                  <c:v>147.54207586613023</c:v>
                </c:pt>
                <c:pt idx="5">
                  <c:v>208.42060661993727</c:v>
                </c:pt>
                <c:pt idx="6">
                  <c:v>173.4329975271215</c:v>
                </c:pt>
                <c:pt idx="7">
                  <c:v>175.91029434755708</c:v>
                </c:pt>
                <c:pt idx="8">
                  <c:v>176.10718373483448</c:v>
                </c:pt>
                <c:pt idx="9">
                  <c:v>181.30796990700887</c:v>
                </c:pt>
              </c:numCache>
            </c:numRef>
          </c:yVal>
          <c:smooth val="0"/>
          <c:extLst>
            <c:ext xmlns:c16="http://schemas.microsoft.com/office/drawing/2014/chart" uri="{C3380CC4-5D6E-409C-BE32-E72D297353CC}">
              <c16:uniqueId val="{00000000-1646-4B94-84DA-58D850CA7809}"/>
            </c:ext>
          </c:extLst>
        </c:ser>
        <c:ser>
          <c:idx val="1"/>
          <c:order val="1"/>
          <c:tx>
            <c:v>Non-Residential Construction Costs (PPI)</c:v>
          </c:tx>
          <c:spPr>
            <a:ln w="28440">
              <a:solidFill>
                <a:srgbClr val="1F3B57"/>
              </a:solidFill>
              <a:round/>
            </a:ln>
          </c:spPr>
          <c:marker>
            <c:symbol val="squar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Market'!$V$4:$V$13</c:f>
              <c:numCache>
                <c:formatCode>0.0</c:formatCode>
                <c:ptCount val="10"/>
                <c:pt idx="0">
                  <c:v>100</c:v>
                </c:pt>
                <c:pt idx="1">
                  <c:v>102.1961670162606</c:v>
                </c:pt>
                <c:pt idx="2">
                  <c:v>106.49169042112622</c:v>
                </c:pt>
                <c:pt idx="3">
                  <c:v>111.95252693666073</c:v>
                </c:pt>
                <c:pt idx="4">
                  <c:v>114.71611179834704</c:v>
                </c:pt>
                <c:pt idx="5">
                  <c:v>120.67175818856559</c:v>
                </c:pt>
                <c:pt idx="6">
                  <c:v>144.71306405636528</c:v>
                </c:pt>
                <c:pt idx="7">
                  <c:v>156.11789383101166</c:v>
                </c:pt>
                <c:pt idx="8">
                  <c:v>156.28103766650528</c:v>
                </c:pt>
                <c:pt idx="9">
                  <c:v>158.82142024776348</c:v>
                </c:pt>
              </c:numCache>
            </c:numRef>
          </c:yVal>
          <c:smooth val="0"/>
          <c:extLst>
            <c:ext xmlns:c16="http://schemas.microsoft.com/office/drawing/2014/chart" uri="{C3380CC4-5D6E-409C-BE32-E72D297353CC}">
              <c16:uniqueId val="{00000001-1646-4B94-84DA-58D850CA7809}"/>
            </c:ext>
          </c:extLst>
        </c:ser>
        <c:ser>
          <c:idx val="2"/>
          <c:order val="2"/>
          <c:tx>
            <c:v>CPI (All Urban Consumers)</c:v>
          </c:tx>
          <c:spPr>
            <a:ln w="28440">
              <a:solidFill>
                <a:srgbClr val="8A8A8A"/>
              </a:solidFill>
              <a:prstDash val="dash"/>
              <a:round/>
            </a:ln>
          </c:spPr>
          <c:marker>
            <c:symbol val="dash"/>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Market'!$W$4:$W$13</c:f>
              <c:numCache>
                <c:formatCode>0.0</c:formatCode>
                <c:ptCount val="10"/>
                <c:pt idx="0">
                  <c:v>100</c:v>
                </c:pt>
                <c:pt idx="1">
                  <c:v>102.13162225786962</c:v>
                </c:pt>
                <c:pt idx="2">
                  <c:v>104.62282035790922</c:v>
                </c:pt>
                <c:pt idx="3">
                  <c:v>106.51986416949646</c:v>
                </c:pt>
                <c:pt idx="4">
                  <c:v>107.8544196995896</c:v>
                </c:pt>
                <c:pt idx="5">
                  <c:v>112.90306451948919</c:v>
                </c:pt>
                <c:pt idx="6">
                  <c:v>121.92495989666881</c:v>
                </c:pt>
                <c:pt idx="7">
                  <c:v>126.95693839711673</c:v>
                </c:pt>
                <c:pt idx="8">
                  <c:v>130.70477698381282</c:v>
                </c:pt>
                <c:pt idx="9">
                  <c:v>134.14803858252952</c:v>
                </c:pt>
              </c:numCache>
            </c:numRef>
          </c:yVal>
          <c:smooth val="0"/>
          <c:extLst>
            <c:ext xmlns:c16="http://schemas.microsoft.com/office/drawing/2014/chart" uri="{C3380CC4-5D6E-409C-BE32-E72D297353CC}">
              <c16:uniqueId val="{00000002-1646-4B94-84DA-58D850CA7809}"/>
            </c:ext>
          </c:extLst>
        </c:ser>
        <c:dLbls>
          <c:showLegendKey val="0"/>
          <c:showVal val="0"/>
          <c:showCatName val="0"/>
          <c:showSerName val="0"/>
          <c:showPercent val="0"/>
          <c:showBubbleSize val="0"/>
        </c:dLbls>
        <c:axId val="93031856"/>
        <c:axId val="98335495"/>
      </c:scatterChart>
      <c:valAx>
        <c:axId val="93031856"/>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98335495"/>
        <c:crosses val="autoZero"/>
        <c:crossBetween val="midCat"/>
        <c:majorUnit val="1"/>
      </c:valAx>
      <c:valAx>
        <c:axId val="98335495"/>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93031856"/>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Market Asking Rent and Occupancy (2016-2025)
Left axis: CoStar market asking rent, $/SF. Right axis: occupancy (100% less vacancy).</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($/SF, left)</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Market'!$AA$4:$AA$13</c:f>
              <c:numCache>
                <c:formatCode>\$0.00</c:formatCode>
                <c:ptCount val="10"/>
                <c:pt idx="0">
                  <c:v>7.2084040180553197</c:v>
                </c:pt>
                <c:pt idx="1">
                  <c:v>7.6207957627302196</c:v>
                </c:pt>
                <c:pt idx="2">
                  <c:v>8.0585030051050701</c:v>
                </c:pt>
                <c:pt idx="3">
                  <c:v>8.5157481665742498</c:v>
                </c:pt>
                <c:pt idx="4">
                  <c:v>9.0124778657559901</c:v>
                </c:pt>
                <c:pt idx="5">
                  <c:v>9.7576253176282304</c:v>
                </c:pt>
                <c:pt idx="6">
                  <c:v>10.7360950922091</c:v>
                </c:pt>
                <c:pt idx="7">
                  <c:v>11.501830778377499</c:v>
                </c:pt>
                <c:pt idx="8">
                  <c:v>11.911794844842101</c:v>
                </c:pt>
                <c:pt idx="9">
                  <c:v>12.1462063713302</c:v>
                </c:pt>
              </c:numCache>
            </c:numRef>
          </c:yVal>
          <c:smooth val="0"/>
          <c:extLst>
            <c:ext xmlns:c16="http://schemas.microsoft.com/office/drawing/2014/chart" uri="{C3380CC4-5D6E-409C-BE32-E72D297353CC}">
              <c16:uniqueId val="{00000000-C14A-4AD9-BA87-620C0D61C7DE}"/>
            </c:ext>
          </c:extLst>
        </c:ser>
        <c:dLbls>
          <c:showLegendKey val="0"/>
          <c:showVal val="0"/>
          <c:showCatName val="0"/>
          <c:showSerName val="0"/>
          <c:showPercent val="0"/>
          <c:showBubbleSize val="0"/>
        </c:dLbls>
        <c:axId val="75067571"/>
        <c:axId val="8564083"/>
      </c:scatterChart>
      <c:scatterChart>
        <c:scatterStyle val="lineMarker"/>
        <c:varyColors val="0"/>
        <c:ser>
          <c:idx val="1"/>
          <c:order val="1"/>
          <c:tx>
            <c:v>CoStar National Occupancy (right)</c:v>
          </c:tx>
          <c:spPr>
            <a:ln w="28440">
              <a:solidFill>
                <a:srgbClr val="8A8A8A"/>
              </a:solidFill>
              <a:prstDash val="dash"/>
              <a:round/>
            </a:ln>
          </c:spPr>
          <c:marker>
            <c:symbol val="diamond"/>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Market'!$AB$4:$AB$13</c:f>
              <c:numCache>
                <c:formatCode>0.0%</c:formatCode>
                <c:ptCount val="10"/>
                <c:pt idx="0">
                  <c:v>0.94774606694073227</c:v>
                </c:pt>
                <c:pt idx="1">
                  <c:v>0.95035022562934757</c:v>
                </c:pt>
                <c:pt idx="2">
                  <c:v>0.95323320884798135</c:v>
                </c:pt>
                <c:pt idx="3">
                  <c:v>0.94926756615409602</c:v>
                </c:pt>
                <c:pt idx="4">
                  <c:v>0.94546317580134676</c:v>
                </c:pt>
                <c:pt idx="5">
                  <c:v>0.95862050110610841</c:v>
                </c:pt>
                <c:pt idx="6">
                  <c:v>0.96099685761421394</c:v>
                </c:pt>
                <c:pt idx="7">
                  <c:v>0.94347826068344176</c:v>
                </c:pt>
                <c:pt idx="8">
                  <c:v>0.93190964730657366</c:v>
                </c:pt>
                <c:pt idx="9">
                  <c:v>0.92538748823502981</c:v>
                </c:pt>
              </c:numCache>
            </c:numRef>
          </c:yVal>
          <c:smooth val="0"/>
          <c:extLst>
            <c:ext xmlns:c16="http://schemas.microsoft.com/office/drawing/2014/chart" uri="{C3380CC4-5D6E-409C-BE32-E72D297353CC}">
              <c16:uniqueId val="{00000001-C14A-4AD9-BA87-620C0D61C7DE}"/>
            </c:ext>
          </c:extLst>
        </c:ser>
        <c:dLbls>
          <c:showLegendKey val="0"/>
          <c:showVal val="0"/>
          <c:showCatName val="0"/>
          <c:showSerName val="0"/>
          <c:showPercent val="0"/>
          <c:showBubbleSize val="0"/>
        </c:dLbls>
        <c:axId val="49684932"/>
        <c:axId val="61165137"/>
      </c:scatterChart>
      <c:valAx>
        <c:axId val="75067571"/>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8564083"/>
        <c:crosses val="autoZero"/>
        <c:crossBetween val="midCat"/>
        <c:majorUnit val="1"/>
      </c:valAx>
      <c:valAx>
        <c:axId val="8564083"/>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5067571"/>
        <c:crosses val="autoZero"/>
        <c:crossBetween val="midCat"/>
      </c:valAx>
      <c:valAx>
        <c:axId val="49684932"/>
        <c:scaling>
          <c:orientation val="minMax"/>
        </c:scaling>
        <c:delete val="1"/>
        <c:axPos val="b"/>
        <c:numFmt formatCode="General" sourceLinked="1"/>
        <c:majorTickMark val="none"/>
        <c:minorTickMark val="none"/>
        <c:tickLblPos val="nextTo"/>
        <c:crossAx val="61165137"/>
        <c:crosses val="autoZero"/>
        <c:crossBetween val="midCat"/>
        <c:majorUnit val="1"/>
      </c:valAx>
      <c:valAx>
        <c:axId val="61165137"/>
        <c:scaling>
          <c:orientation val="minMax"/>
        </c:scaling>
        <c:delete val="0"/>
        <c:axPos val="r"/>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9684932"/>
        <c:crosses val="max"/>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(2016 = 100)</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Market'!$X$4:$X$13</c:f>
              <c:numCache>
                <c:formatCode>0.0</c:formatCode>
                <c:ptCount val="10"/>
                <c:pt idx="0">
                  <c:v>100</c:v>
                </c:pt>
                <c:pt idx="1">
                  <c:v>105.72098544479414</c:v>
                </c:pt>
                <c:pt idx="2">
                  <c:v>111.79316510174037</c:v>
                </c:pt>
                <c:pt idx="3">
                  <c:v>118.13638837729331</c:v>
                </c:pt>
                <c:pt idx="4">
                  <c:v>125.02736865444692</c:v>
                </c:pt>
                <c:pt idx="5">
                  <c:v>135.36457297881367</c:v>
                </c:pt>
                <c:pt idx="6">
                  <c:v>148.93858703421395</c:v>
                </c:pt>
                <c:pt idx="7">
                  <c:v>159.56140568103808</c:v>
                </c:pt>
                <c:pt idx="8">
                  <c:v>165.24871268322249</c:v>
                </c:pt>
                <c:pt idx="9">
                  <c:v>168.50063260753521</c:v>
                </c:pt>
              </c:numCache>
            </c:numRef>
          </c:yVal>
          <c:smooth val="0"/>
          <c:extLst>
            <c:ext xmlns:c16="http://schemas.microsoft.com/office/drawing/2014/chart" uri="{C3380CC4-5D6E-409C-BE32-E72D297353CC}">
              <c16:uniqueId val="{00000000-A394-473F-AEEA-F54C872C0C3A}"/>
            </c:ext>
          </c:extLst>
        </c:ser>
        <c:ser>
          <c:idx val="1"/>
          <c:order val="1"/>
          <c:tx>
            <c:v>Green Street Market-RevPAF (2016 = 100)</c:v>
          </c:tx>
          <c:spPr>
            <a:ln w="28440">
              <a:solidFill>
                <a:srgbClr val="A31F34"/>
              </a:solidFill>
              <a:round/>
            </a:ln>
          </c:spPr>
          <c:marker>
            <c:symbol val="squar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Market'!$AC$4:$AC$13</c:f>
              <c:numCache>
                <c:formatCode>General</c:formatCode>
                <c:ptCount val="10"/>
                <c:pt idx="0">
                  <c:v>100</c:v>
                </c:pt>
                <c:pt idx="1">
                  <c:v>105.616601</c:v>
                </c:pt>
                <c:pt idx="2">
                  <c:v>111.33954847878205</c:v>
                </c:pt>
                <c:pt idx="3">
                  <c:v>117.63658377567846</c:v>
                </c:pt>
                <c:pt idx="4">
                  <c:v>121.31316933222341</c:v>
                </c:pt>
                <c:pt idx="5">
                  <c:v>143.34256968766996</c:v>
                </c:pt>
                <c:pt idx="6">
                  <c:v>180.0410526738425</c:v>
                </c:pt>
                <c:pt idx="7">
                  <c:v>188.32901748236702</c:v>
                </c:pt>
                <c:pt idx="8">
                  <c:v>179.97281001112987</c:v>
                </c:pt>
                <c:pt idx="9">
                  <c:v>173.3807317312083</c:v>
                </c:pt>
              </c:numCache>
            </c:numRef>
          </c:yVal>
          <c:smooth val="0"/>
          <c:extLst>
            <c:ext xmlns:c16="http://schemas.microsoft.com/office/drawing/2014/chart" uri="{C3380CC4-5D6E-409C-BE32-E72D297353CC}">
              <c16:uniqueId val="{00000001-A394-473F-AEEA-F54C872C0C3A}"/>
            </c:ext>
          </c:extLst>
        </c:ser>
        <c:dLbls>
          <c:showLegendKey val="0"/>
          <c:showVal val="0"/>
          <c:showCatName val="0"/>
          <c:showSerName val="0"/>
          <c:showPercent val="0"/>
          <c:showBubbleSize val="0"/>
        </c:dLbls>
        <c:axId val="81028247"/>
        <c:axId val="77416705"/>
      </c:scatterChart>
      <c:scatterChart>
        <c:scatterStyle val="lineMarker"/>
        <c:varyColors val="0"/>
        <c:ser>
          <c:idx val="2"/>
          <c:order val="2"/>
          <c:tx>
            <c:v>CoStar National Vacancy (%)</c:v>
          </c:tx>
          <c:spPr>
            <a:ln w="28440">
              <a:solidFill>
                <a:srgbClr val="8A8A8A"/>
              </a:solidFill>
              <a:prstDash val="dash"/>
              <a:round/>
            </a:ln>
          </c:spPr>
          <c:marker>
            <c:symbol val="diamond"/>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'FR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'FR vs Market'!$G$4:$G$13</c:f>
              <c:numCache>
                <c:formatCode>0.00%</c:formatCode>
                <c:ptCount val="10"/>
                <c:pt idx="0">
                  <c:v>5.2253933059267697E-2</c:v>
                </c:pt>
                <c:pt idx="1">
                  <c:v>4.9649774370652398E-2</c:v>
                </c:pt>
                <c:pt idx="2">
                  <c:v>4.6766791152018601E-2</c:v>
                </c:pt>
                <c:pt idx="3">
                  <c:v>5.0732433845904E-2</c:v>
                </c:pt>
                <c:pt idx="4">
                  <c:v>5.45368241986533E-2</c:v>
                </c:pt>
                <c:pt idx="5">
                  <c:v>4.13794988938916E-2</c:v>
                </c:pt>
                <c:pt idx="6">
                  <c:v>3.9003142385786102E-2</c:v>
                </c:pt>
                <c:pt idx="7">
                  <c:v>5.6521739316558198E-2</c:v>
                </c:pt>
                <c:pt idx="8">
                  <c:v>6.8090352693426295E-2</c:v>
                </c:pt>
                <c:pt idx="9">
                  <c:v>7.4612511764970205E-2</c:v>
                </c:pt>
              </c:numCache>
            </c:numRef>
          </c:yVal>
          <c:smooth val="0"/>
          <c:extLst>
            <c:ext xmlns:c16="http://schemas.microsoft.com/office/drawing/2014/chart" uri="{C3380CC4-5D6E-409C-BE32-E72D297353CC}">
              <c16:uniqueId val="{00000002-A394-473F-AEEA-F54C872C0C3A}"/>
            </c:ext>
          </c:extLst>
        </c:ser>
        <c:dLbls>
          <c:showLegendKey val="0"/>
          <c:showVal val="0"/>
          <c:showCatName val="0"/>
          <c:showSerName val="0"/>
          <c:showPercent val="0"/>
          <c:showBubbleSize val="0"/>
        </c:dLbls>
        <c:axId val="95951117"/>
        <c:axId val="45822631"/>
      </c:scatterChart>
      <c:valAx>
        <c:axId val="81028247"/>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77416705"/>
        <c:crosses val="autoZero"/>
        <c:crossBetween val="midCat"/>
        <c:majorUnit val="1"/>
      </c:valAx>
      <c:valAx>
        <c:axId val="77416705"/>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1028247"/>
        <c:crosses val="autoZero"/>
        <c:crossBetween val="midCat"/>
      </c:valAx>
      <c:valAx>
        <c:axId val="95951117"/>
        <c:scaling>
          <c:orientation val="minMax"/>
        </c:scaling>
        <c:delete val="1"/>
        <c:axPos val="b"/>
        <c:numFmt formatCode="General" sourceLinked="1"/>
        <c:majorTickMark val="none"/>
        <c:minorTickMark val="none"/>
        <c:tickLblPos val="nextTo"/>
        <c:crossAx val="45822631"/>
        <c:crosses val="autoZero"/>
        <c:crossBetween val="midCat"/>
        <c:majorUnit val="1"/>
      </c:valAx>
      <c:valAx>
        <c:axId val="45822631"/>
        <c:scaling>
          <c:orientation val="minMax"/>
        </c:scaling>
        <c:delete val="0"/>
        <c:axPos val="r"/>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95951117"/>
        <c:crosses val="max"/>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Supply Reduction and Forecast Revenue Recovery (2016-2030): Market-RevPAF Growth
Green Street, 51-market weighted average; dashed segment is the Green Street forecast (2026-2030).</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Market-RevPAF Growth, actual</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c:formatCode>
                <c:ptCount val="10"/>
                <c:pt idx="0">
                  <c:v>6.7850380000000002E-2</c:v>
                </c:pt>
                <c:pt idx="1">
                  <c:v>5.6166010000000002E-2</c:v>
                </c:pt>
                <c:pt idx="2">
                  <c:v>5.4186060000000001E-2</c:v>
                </c:pt>
                <c:pt idx="3">
                  <c:v>5.6557040000000003E-2</c:v>
                </c:pt>
                <c:pt idx="4">
                  <c:v>3.1253759999999998E-2</c:v>
                </c:pt>
                <c:pt idx="5">
                  <c:v>0.18159117</c:v>
                </c:pt>
                <c:pt idx="6">
                  <c:v>0.25601942999999999</c:v>
                </c:pt>
                <c:pt idx="7">
                  <c:v>4.6033749999999998E-2</c:v>
                </c:pt>
                <c:pt idx="8">
                  <c:v>-4.4370260000000002E-2</c:v>
                </c:pt>
                <c:pt idx="9">
                  <c:v>-3.6628189999999998E-2</c:v>
                </c:pt>
              </c:numCache>
            </c:numRef>
          </c:yVal>
          <c:smooth val="0"/>
          <c:extLst>
            <c:ext xmlns:c16="http://schemas.microsoft.com/office/drawing/2014/chart" uri="{C3380CC4-5D6E-409C-BE32-E72D297353CC}">
              <c16:uniqueId val="{00000000-61B2-432B-980C-16E1D45B79F2}"/>
            </c:ext>
          </c:extLst>
        </c:ser>
        <c:ser>
          <c:idx val="1"/>
          <c:order val="1"/>
          <c:tx>
            <c:v>Market-RevPAF Growth, Green Street forecast</c:v>
          </c:tx>
          <c:spPr>
            <a:ln w="28440">
              <a:solidFill>
                <a:srgbClr val="A31F34"/>
              </a:solidFill>
              <a:prstDash val="dash"/>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c:formatCode>
                <c:ptCount val="6"/>
                <c:pt idx="0">
                  <c:v>-3.6628189999999998E-2</c:v>
                </c:pt>
                <c:pt idx="1">
                  <c:v>1.774707E-2</c:v>
                </c:pt>
                <c:pt idx="2">
                  <c:v>3.4207439999999999E-2</c:v>
                </c:pt>
                <c:pt idx="3">
                  <c:v>2.864914E-2</c:v>
                </c:pt>
                <c:pt idx="4">
                  <c:v>3.008883E-2</c:v>
                </c:pt>
                <c:pt idx="5">
                  <c:v>2.965373E-2</c:v>
                </c:pt>
              </c:numCache>
            </c:numRef>
          </c:yVal>
          <c:smooth val="0"/>
          <c:extLst>
            <c:ext xmlns:c16="http://schemas.microsoft.com/office/drawing/2014/chart" uri="{C3380CC4-5D6E-409C-BE32-E72D297353CC}">
              <c16:uniqueId val="{00000001-61B2-432B-980C-16E1D45B79F2}"/>
            </c:ext>
          </c:extLst>
        </c:ser>
        <c:dLbls>
          <c:showLegendKey val="0"/>
          <c:showVal val="0"/>
          <c:showCatName val="0"/>
          <c:showSerName val="0"/>
          <c:showPercent val="0"/>
          <c:showBubbleSize val="0"/>
        </c:dLbls>
        <c:axId val="94981162"/>
        <c:axId val="1156916"/>
      </c:scatterChart>
      <c:valAx>
        <c:axId val="94981162"/>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1156916"/>
        <c:crosses val="autoZero"/>
        <c:crossBetween val="midCat"/>
        <c:majorUnit val="1"/>
      </c:valAx>
      <c:valAx>
        <c:axId val="1156916"/>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94981162"/>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Supply Reduction and Forecast Revenue Recovery (2016-2030): Supply Growth (% of Stock)
Green Street, 51-market weighted average; lighter bars are the Green Street forecast (2026-2030).</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barChart>
        <c:barDir val="col"/>
        <c:grouping val="stacked"/>
        <c:varyColors val="0"/>
        <c:ser>
          <c:idx val="0"/>
          <c:order val="0"/>
          <c:tx>
            <c:v>Supply Growth, actual</c:v>
          </c:tx>
          <c:spPr>
            <a:solidFill>
              <a:srgbClr val="1F3B57"/>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'Green Street National'!$A$4:$A$18</c:f>
              <c:numCache>
                <c:formatCode>General</c:formatCod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numCache>
            </c:numRef>
          </c:cat>
          <c:val>
            <c:numRef>
              <c:f>'Green Street National'!$H$4:$H$18</c:f>
              <c:numCache>
                <c:formatCode>0.0%</c:formatCode>
                <c:ptCount val="15"/>
                <c:pt idx="0">
                  <c:v>1.6958379999999999E-2</c:v>
                </c:pt>
                <c:pt idx="1">
                  <c:v>1.8904939999999999E-2</c:v>
                </c:pt>
                <c:pt idx="2">
                  <c:v>2.0244990000000001E-2</c:v>
                </c:pt>
                <c:pt idx="3">
                  <c:v>2.0379209999999998E-2</c:v>
                </c:pt>
                <c:pt idx="4">
                  <c:v>2.0601000000000001E-2</c:v>
                </c:pt>
                <c:pt idx="5">
                  <c:v>2.1810260000000001E-2</c:v>
                </c:pt>
                <c:pt idx="6">
                  <c:v>2.528859E-2</c:v>
                </c:pt>
                <c:pt idx="7">
                  <c:v>3.5278770000000001E-2</c:v>
                </c:pt>
                <c:pt idx="8">
                  <c:v>2.413096E-2</c:v>
                </c:pt>
                <c:pt idx="9">
                  <c:v>1.702586E-2</c:v>
                </c:pt>
                <c:pt idx="10">
                  <c:v>0</c:v>
                </c:pt>
                <c:pt idx="11">
                  <c:v>0</c:v>
                </c:pt>
                <c:pt idx="12">
                  <c:v>0</c:v>
                </c:pt>
                <c:pt idx="13">
                  <c:v>0</c:v>
                </c:pt>
                <c:pt idx="14">
                  <c:v>0</c:v>
                </c:pt>
              </c:numCache>
            </c:numRef>
          </c:val>
          <c:extLst>
            <c:ext xmlns:c16="http://schemas.microsoft.com/office/drawing/2014/chart" uri="{C3380CC4-5D6E-409C-BE32-E72D297353CC}">
              <c16:uniqueId val="{00000000-1ECD-403E-B8B1-CB12EEB0D60B}"/>
            </c:ext>
          </c:extLst>
        </c:ser>
        <c:ser>
          <c:idx val="1"/>
          <c:order val="1"/>
          <c:tx>
            <c:v>Supply Growth, Green Street forecast</c:v>
          </c:tx>
          <c:spPr>
            <a:solidFill>
              <a:srgbClr val="A9BCD1"/>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'Green Street National'!$A$4:$A$18</c:f>
              <c:numCache>
                <c:formatCode>General</c:formatCod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numCache>
            </c:numRef>
          </c:cat>
          <c:val>
            <c:numRef>
              <c:f>'Green Street National'!$I$4:$I$18</c:f>
              <c:numCache>
                <c:formatCode>0.0%</c:formatCode>
                <c:ptCount val="15"/>
                <c:pt idx="0">
                  <c:v>0</c:v>
                </c:pt>
                <c:pt idx="1">
                  <c:v>0</c:v>
                </c:pt>
                <c:pt idx="2">
                  <c:v>0</c:v>
                </c:pt>
                <c:pt idx="3">
                  <c:v>0</c:v>
                </c:pt>
                <c:pt idx="4">
                  <c:v>0</c:v>
                </c:pt>
                <c:pt idx="5">
                  <c:v>0</c:v>
                </c:pt>
                <c:pt idx="6">
                  <c:v>0</c:v>
                </c:pt>
                <c:pt idx="7">
                  <c:v>0</c:v>
                </c:pt>
                <c:pt idx="8">
                  <c:v>0</c:v>
                </c:pt>
                <c:pt idx="9">
                  <c:v>0</c:v>
                </c:pt>
                <c:pt idx="10">
                  <c:v>1.187E-2</c:v>
                </c:pt>
                <c:pt idx="11">
                  <c:v>1.4069679999999999E-2</c:v>
                </c:pt>
                <c:pt idx="12">
                  <c:v>2.0159659999999999E-2</c:v>
                </c:pt>
                <c:pt idx="13">
                  <c:v>1.7079710000000001E-2</c:v>
                </c:pt>
                <c:pt idx="14">
                  <c:v>1.6869749999999999E-2</c:v>
                </c:pt>
              </c:numCache>
            </c:numRef>
          </c:val>
          <c:extLst>
            <c:ext xmlns:c16="http://schemas.microsoft.com/office/drawing/2014/chart" uri="{C3380CC4-5D6E-409C-BE32-E72D297353CC}">
              <c16:uniqueId val="{00000001-1ECD-403E-B8B1-CB12EEB0D60B}"/>
            </c:ext>
          </c:extLst>
        </c:ser>
        <c:dLbls>
          <c:showLegendKey val="0"/>
          <c:showVal val="0"/>
          <c:showCatName val="0"/>
          <c:showSerName val="0"/>
          <c:showPercent val="0"/>
          <c:showBubbleSize val="0"/>
        </c:dLbls>
        <c:gapWidth val="150"/>
        <c:overlap val="100"/>
        <c:axId val="27263819"/>
        <c:axId val="56384836"/>
      </c:barChart>
      <c:catAx>
        <c:axId val="27263819"/>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56384836"/>
        <c:crosses val="autoZero"/>
        <c:auto val="1"/>
        <c:lblAlgn val="ctr"/>
        <c:lblOffset val="100"/>
        <c:noMultiLvlLbl val="0"/>
      </c:catAx>
      <c:valAx>
        <c:axId val="56384836"/>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7263819"/>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Operating Fundamentals: CoStar Market Asking Rent ($/SF)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($/SF)</c:v>
          </c:tx>
          <c:spPr>
            <a:ln w="28440">
              <a:solidFill>
                <a:srgbClr val="1F3B57"/>
              </a:solidFill>
              <a:round/>
            </a:ln>
          </c:spPr>
          <c:marker>
            <c:symbol val="circle"/>
            <c:size val="5"/>
            <c:spPr>
              <a:solidFill>
                <a:srgbClr val="1F3B57"/>
              </a:solidFill>
            </c:spPr>
          </c:marker>
          <c:dPt>
            <c:idx val="0"/>
            <c:bubble3D val="0"/>
            <c:extLst>
              <c:ext xmlns:c16="http://schemas.microsoft.com/office/drawing/2014/chart" uri="{C3380CC4-5D6E-409C-BE32-E72D297353CC}">
                <c16:uniqueId val="{00000000-9F93-4761-A139-2A23523A4789}"/>
              </c:ext>
            </c:extLst>
          </c:dPt>
          <c:dPt>
            <c:idx val="1"/>
            <c:bubble3D val="0"/>
            <c:extLst>
              <c:ext xmlns:c16="http://schemas.microsoft.com/office/drawing/2014/chart" uri="{C3380CC4-5D6E-409C-BE32-E72D297353CC}">
                <c16:uniqueId val="{00000001-9F93-4761-A139-2A23523A4789}"/>
              </c:ext>
            </c:extLst>
          </c:dPt>
          <c:dPt>
            <c:idx val="2"/>
            <c:bubble3D val="0"/>
            <c:extLst>
              <c:ext xmlns:c16="http://schemas.microsoft.com/office/drawing/2014/chart" uri="{C3380CC4-5D6E-409C-BE32-E72D297353CC}">
                <c16:uniqueId val="{00000002-9F93-4761-A139-2A23523A4789}"/>
              </c:ext>
            </c:extLst>
          </c:dPt>
          <c:dPt>
            <c:idx val="3"/>
            <c:bubble3D val="0"/>
            <c:extLst>
              <c:ext xmlns:c16="http://schemas.microsoft.com/office/drawing/2014/chart" uri="{C3380CC4-5D6E-409C-BE32-E72D297353CC}">
                <c16:uniqueId val="{00000003-9F93-4761-A139-2A23523A4789}"/>
              </c:ext>
            </c:extLst>
          </c:dPt>
          <c:dPt>
            <c:idx val="4"/>
            <c:bubble3D val="0"/>
            <c:extLst>
              <c:ext xmlns:c16="http://schemas.microsoft.com/office/drawing/2014/chart" uri="{C3380CC4-5D6E-409C-BE32-E72D297353CC}">
                <c16:uniqueId val="{00000004-9F93-4761-A139-2A23523A4789}"/>
              </c:ext>
            </c:extLst>
          </c:dPt>
          <c:dPt>
            <c:idx val="5"/>
            <c:bubble3D val="0"/>
            <c:extLst>
              <c:ext xmlns:c16="http://schemas.microsoft.com/office/drawing/2014/chart" uri="{C3380CC4-5D6E-409C-BE32-E72D297353CC}">
                <c16:uniqueId val="{00000005-9F93-4761-A139-2A23523A4789}"/>
              </c:ext>
            </c:extLst>
          </c:dPt>
          <c:dPt>
            <c:idx val="6"/>
            <c:bubble3D val="0"/>
            <c:extLst>
              <c:ext xmlns:c16="http://schemas.microsoft.com/office/drawing/2014/chart" uri="{C3380CC4-5D6E-409C-BE32-E72D297353CC}">
                <c16:uniqueId val="{00000006-9F93-4761-A139-2A23523A4789}"/>
              </c:ext>
            </c:extLst>
          </c:dPt>
          <c:dPt>
            <c:idx val="7"/>
            <c:bubble3D val="0"/>
            <c:extLst>
              <c:ext xmlns:c16="http://schemas.microsoft.com/office/drawing/2014/chart" uri="{C3380CC4-5D6E-409C-BE32-E72D297353CC}">
                <c16:uniqueId val="{00000007-9F93-4761-A139-2A23523A4789}"/>
              </c:ext>
            </c:extLst>
          </c:dPt>
          <c:dPt>
            <c:idx val="8"/>
            <c:bubble3D val="0"/>
            <c:extLst>
              <c:ext xmlns:c16="http://schemas.microsoft.com/office/drawing/2014/chart" uri="{C3380CC4-5D6E-409C-BE32-E72D297353CC}">
                <c16:uniqueId val="{00000008-9F93-4761-A139-2A23523A4789}"/>
              </c:ext>
            </c:extLst>
          </c:dPt>
          <c:dPt>
            <c:idx val="9"/>
            <c:bubble3D val="0"/>
            <c:extLst>
              <c:ext xmlns:c16="http://schemas.microsoft.com/office/drawing/2014/chart" uri="{C3380CC4-5D6E-409C-BE32-E72D297353CC}">
                <c16:uniqueId val="{00000009-9F93-4761-A139-2A23523A4789}"/>
              </c:ext>
            </c:extLst>
          </c:dPt>
          <c:dLbls>
            <c:dLbl>
              <c:idx val="0"/>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0-9F93-4761-A139-2A23523A4789}"/>
                </c:ext>
              </c:extLst>
            </c:dLbl>
            <c:dLbl>
              <c:idx val="1"/>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1-9F93-4761-A139-2A23523A4789}"/>
                </c:ext>
              </c:extLst>
            </c:dLbl>
            <c:dLbl>
              <c:idx val="2"/>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2-9F93-4761-A139-2A23523A4789}"/>
                </c:ext>
              </c:extLst>
            </c:dLbl>
            <c:dLbl>
              <c:idx val="3"/>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3-9F93-4761-A139-2A23523A4789}"/>
                </c:ext>
              </c:extLst>
            </c:dLbl>
            <c:dLbl>
              <c:idx val="4"/>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4-9F93-4761-A139-2A23523A4789}"/>
                </c:ext>
              </c:extLst>
            </c:dLbl>
            <c:dLbl>
              <c:idx val="5"/>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5-9F93-4761-A139-2A23523A4789}"/>
                </c:ext>
              </c:extLst>
            </c:dLbl>
            <c:dLbl>
              <c:idx val="6"/>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6-9F93-4761-A139-2A23523A4789}"/>
                </c:ext>
              </c:extLst>
            </c:dLbl>
            <c:dLbl>
              <c:idx val="7"/>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7-9F93-4761-A139-2A23523A4789}"/>
                </c:ext>
              </c:extLst>
            </c:dLbl>
            <c:dLbl>
              <c:idx val="8"/>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8-9F93-4761-A139-2A23523A4789}"/>
                </c:ext>
              </c:extLst>
            </c:dLbl>
            <c:dLbl>
              <c:idx val="9"/>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9-9F93-4761-A139-2A23523A4789}"/>
                </c:ext>
              </c:extLst>
            </c:dLbl>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Market'!$AA$4:$AA$13</c:f>
              <c:numCache>
                <c:formatCode>\$0.00</c:formatCode>
                <c:ptCount val="10"/>
                <c:pt idx="0">
                  <c:v>7.2084040180553197</c:v>
                </c:pt>
                <c:pt idx="1">
                  <c:v>7.6207957627302196</c:v>
                </c:pt>
                <c:pt idx="2">
                  <c:v>8.0585030051050701</c:v>
                </c:pt>
                <c:pt idx="3">
                  <c:v>8.5157481665742498</c:v>
                </c:pt>
                <c:pt idx="4">
                  <c:v>9.0124778657559901</c:v>
                </c:pt>
                <c:pt idx="5">
                  <c:v>9.7576253176282304</c:v>
                </c:pt>
                <c:pt idx="6">
                  <c:v>10.7360950922091</c:v>
                </c:pt>
                <c:pt idx="7">
                  <c:v>11.501830778377499</c:v>
                </c:pt>
                <c:pt idx="8">
                  <c:v>11.911794844842101</c:v>
                </c:pt>
                <c:pt idx="9">
                  <c:v>12.1462063713302</c:v>
                </c:pt>
              </c:numCache>
            </c:numRef>
          </c:yVal>
          <c:smooth val="0"/>
          <c:extLst>
            <c:ext xmlns:c16="http://schemas.microsoft.com/office/drawing/2014/chart" uri="{C3380CC4-5D6E-409C-BE32-E72D297353CC}">
              <c16:uniqueId val="{0000000A-9F93-4761-A139-2A23523A4789}"/>
            </c:ext>
          </c:extLst>
        </c:ser>
        <c:dLbls>
          <c:showLegendKey val="0"/>
          <c:showVal val="0"/>
          <c:showCatName val="0"/>
          <c:showSerName val="0"/>
          <c:showPercent val="0"/>
          <c:showBubbleSize val="0"/>
        </c:dLbls>
        <c:axId val="21156629"/>
        <c:axId val="16529480"/>
      </c:scatterChart>
      <c:valAx>
        <c:axId val="21156629"/>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16529480"/>
        <c:crosses val="autoZero"/>
        <c:crossBetween val="midCat"/>
        <c:majorUnit val="1"/>
      </c:valAx>
      <c:valAx>
        <c:axId val="16529480"/>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1156629"/>
        <c:crosses val="autoZero"/>
        <c:crossBetween val="midCat"/>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Bank Prime Loan Rate</c:v>
          </c:tx>
          <c:spPr>
            <a:ln w="28440">
              <a:solidFill>
                <a:srgbClr val="8A8A8A"/>
              </a:solidFill>
              <a:round/>
            </a:ln>
          </c:spPr>
          <c:marker>
            <c:symbol val="triangle"/>
            <c:size val="5"/>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Market'!$P$4:$P$13</c:f>
              <c:numCache>
                <c:formatCode>0.00%</c:formatCode>
                <c:ptCount val="10"/>
                <c:pt idx="0">
                  <c:v>3.5099999999999999E-2</c:v>
                </c:pt>
                <c:pt idx="1">
                  <c:v>4.0999999999999995E-2</c:v>
                </c:pt>
                <c:pt idx="2">
                  <c:v>4.9000000000000002E-2</c:v>
                </c:pt>
                <c:pt idx="3">
                  <c:v>5.28E-2</c:v>
                </c:pt>
                <c:pt idx="4">
                  <c:v>3.5400000000000001E-2</c:v>
                </c:pt>
                <c:pt idx="5">
                  <c:v>3.2500000000000001E-2</c:v>
                </c:pt>
                <c:pt idx="6">
                  <c:v>4.8499999999999995E-2</c:v>
                </c:pt>
                <c:pt idx="7">
                  <c:v>8.1900000000000001E-2</c:v>
                </c:pt>
                <c:pt idx="8">
                  <c:v>8.3100000000000007E-2</c:v>
                </c:pt>
                <c:pt idx="9">
                  <c:v>7.3700000000000002E-2</c:v>
                </c:pt>
              </c:numCache>
            </c:numRef>
          </c:yVal>
          <c:smooth val="0"/>
          <c:extLst>
            <c:ext xmlns:c16="http://schemas.microsoft.com/office/drawing/2014/chart" uri="{C3380CC4-5D6E-409C-BE32-E72D297353CC}">
              <c16:uniqueId val="{00000000-325A-451F-B1EB-FC79418D293D}"/>
            </c:ext>
          </c:extLst>
        </c:ser>
        <c:ser>
          <c:idx val="1"/>
          <c:order val="1"/>
          <c:tx>
            <c:v>CPI Inflation (annual avg, YoY)</c:v>
          </c:tx>
          <c:spPr>
            <a:ln w="28440">
              <a:solidFill>
                <a:srgbClr val="C08A00"/>
              </a:solidFill>
              <a:round/>
            </a:ln>
          </c:spPr>
          <c:marker>
            <c:symbol val="diamond"/>
            <c:size val="5"/>
            <c:spPr>
              <a:solidFill>
                <a:srgbClr val="C08A00"/>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Market'!$S$4:$S$13</c:f>
              <c:numCache>
                <c:formatCode>0.0%</c:formatCode>
                <c:ptCount val="10"/>
                <c:pt idx="0">
                  <c:v>1.2670779149543066E-2</c:v>
                </c:pt>
                <c:pt idx="1">
                  <c:v>2.1316222578696253E-2</c:v>
                </c:pt>
                <c:pt idx="2">
                  <c:v>2.4392034954165531E-2</c:v>
                </c:pt>
                <c:pt idx="3">
                  <c:v>1.8132218239745201E-2</c:v>
                </c:pt>
                <c:pt idx="4">
                  <c:v>1.2528701012700871E-2</c:v>
                </c:pt>
                <c:pt idx="5">
                  <c:v>4.6809809314831474E-2</c:v>
                </c:pt>
                <c:pt idx="6">
                  <c:v>7.9908330350256129E-2</c:v>
                </c:pt>
                <c:pt idx="7">
                  <c:v>4.1271110564338187E-2</c:v>
                </c:pt>
                <c:pt idx="8">
                  <c:v>2.9520549518711636E-2</c:v>
                </c:pt>
                <c:pt idx="9">
                  <c:v>2.6343808376209088E-2</c:v>
                </c:pt>
              </c:numCache>
            </c:numRef>
          </c:yVal>
          <c:smooth val="0"/>
          <c:extLst>
            <c:ext xmlns:c16="http://schemas.microsoft.com/office/drawing/2014/chart" uri="{C3380CC4-5D6E-409C-BE32-E72D297353CC}">
              <c16:uniqueId val="{00000001-325A-451F-B1EB-FC79418D293D}"/>
            </c:ext>
          </c:extLst>
        </c:ser>
        <c:dLbls>
          <c:showLegendKey val="0"/>
          <c:showVal val="0"/>
          <c:showCatName val="0"/>
          <c:showSerName val="0"/>
          <c:showPercent val="0"/>
          <c:showBubbleSize val="0"/>
        </c:dLbls>
        <c:axId val="27045376"/>
        <c:axId val="63002481"/>
      </c:scatterChart>
      <c:valAx>
        <c:axId val="27045376"/>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63002481"/>
        <c:crosses val="autoZero"/>
        <c:crossBetween val="midCat"/>
        <c:majorUnit val="1"/>
      </c:valAx>
      <c:valAx>
        <c:axId val="63002481"/>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7045376"/>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Valuation: Gross NOI Multiple (2016-2025)
STAG figures are aggregate, not per share; shares outstanding grew 9.8% per year on average (132% cumulative,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Gross NOI Multiple (x)</c:v>
          </c:tx>
          <c:spPr>
            <a:ln w="28440">
              <a:solidFill>
                <a:srgbClr val="A31F34"/>
              </a:solidFill>
              <a:round/>
            </a:ln>
          </c:spPr>
          <c:marker>
            <c:symbol val="square"/>
            <c:size val="5"/>
            <c:spPr>
              <a:solidFill>
                <a:srgbClr val="A31F34"/>
              </a:solidFill>
            </c:spPr>
          </c:marker>
          <c:dPt>
            <c:idx val="0"/>
            <c:bubble3D val="0"/>
            <c:extLst>
              <c:ext xmlns:c16="http://schemas.microsoft.com/office/drawing/2014/chart" uri="{C3380CC4-5D6E-409C-BE32-E72D297353CC}">
                <c16:uniqueId val="{00000000-918E-4E3A-BBD6-9A3EDFA163A7}"/>
              </c:ext>
            </c:extLst>
          </c:dPt>
          <c:dPt>
            <c:idx val="1"/>
            <c:bubble3D val="0"/>
            <c:extLst>
              <c:ext xmlns:c16="http://schemas.microsoft.com/office/drawing/2014/chart" uri="{C3380CC4-5D6E-409C-BE32-E72D297353CC}">
                <c16:uniqueId val="{00000001-918E-4E3A-BBD6-9A3EDFA163A7}"/>
              </c:ext>
            </c:extLst>
          </c:dPt>
          <c:dPt>
            <c:idx val="2"/>
            <c:bubble3D val="0"/>
            <c:extLst>
              <c:ext xmlns:c16="http://schemas.microsoft.com/office/drawing/2014/chart" uri="{C3380CC4-5D6E-409C-BE32-E72D297353CC}">
                <c16:uniqueId val="{00000002-918E-4E3A-BBD6-9A3EDFA163A7}"/>
              </c:ext>
            </c:extLst>
          </c:dPt>
          <c:dPt>
            <c:idx val="3"/>
            <c:bubble3D val="0"/>
            <c:extLst>
              <c:ext xmlns:c16="http://schemas.microsoft.com/office/drawing/2014/chart" uri="{C3380CC4-5D6E-409C-BE32-E72D297353CC}">
                <c16:uniqueId val="{00000003-918E-4E3A-BBD6-9A3EDFA163A7}"/>
              </c:ext>
            </c:extLst>
          </c:dPt>
          <c:dPt>
            <c:idx val="4"/>
            <c:bubble3D val="0"/>
            <c:extLst>
              <c:ext xmlns:c16="http://schemas.microsoft.com/office/drawing/2014/chart" uri="{C3380CC4-5D6E-409C-BE32-E72D297353CC}">
                <c16:uniqueId val="{00000004-918E-4E3A-BBD6-9A3EDFA163A7}"/>
              </c:ext>
            </c:extLst>
          </c:dPt>
          <c:dPt>
            <c:idx val="5"/>
            <c:bubble3D val="0"/>
            <c:extLst>
              <c:ext xmlns:c16="http://schemas.microsoft.com/office/drawing/2014/chart" uri="{C3380CC4-5D6E-409C-BE32-E72D297353CC}">
                <c16:uniqueId val="{00000005-918E-4E3A-BBD6-9A3EDFA163A7}"/>
              </c:ext>
            </c:extLst>
          </c:dPt>
          <c:dPt>
            <c:idx val="6"/>
            <c:bubble3D val="0"/>
            <c:extLst>
              <c:ext xmlns:c16="http://schemas.microsoft.com/office/drawing/2014/chart" uri="{C3380CC4-5D6E-409C-BE32-E72D297353CC}">
                <c16:uniqueId val="{00000006-918E-4E3A-BBD6-9A3EDFA163A7}"/>
              </c:ext>
            </c:extLst>
          </c:dPt>
          <c:dPt>
            <c:idx val="7"/>
            <c:bubble3D val="0"/>
            <c:extLst>
              <c:ext xmlns:c16="http://schemas.microsoft.com/office/drawing/2014/chart" uri="{C3380CC4-5D6E-409C-BE32-E72D297353CC}">
                <c16:uniqueId val="{00000007-918E-4E3A-BBD6-9A3EDFA163A7}"/>
              </c:ext>
            </c:extLst>
          </c:dPt>
          <c:dPt>
            <c:idx val="8"/>
            <c:bubble3D val="0"/>
            <c:extLst>
              <c:ext xmlns:c16="http://schemas.microsoft.com/office/drawing/2014/chart" uri="{C3380CC4-5D6E-409C-BE32-E72D297353CC}">
                <c16:uniqueId val="{00000008-918E-4E3A-BBD6-9A3EDFA163A7}"/>
              </c:ext>
            </c:extLst>
          </c:dPt>
          <c:dPt>
            <c:idx val="9"/>
            <c:bubble3D val="0"/>
            <c:extLst>
              <c:ext xmlns:c16="http://schemas.microsoft.com/office/drawing/2014/chart" uri="{C3380CC4-5D6E-409C-BE32-E72D297353CC}">
                <c16:uniqueId val="{00000009-918E-4E3A-BBD6-9A3EDFA163A7}"/>
              </c:ext>
            </c:extLst>
          </c:dPt>
          <c:dLbls>
            <c:dLbl>
              <c:idx val="0"/>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0-918E-4E3A-BBD6-9A3EDFA163A7}"/>
                </c:ext>
              </c:extLst>
            </c:dLbl>
            <c:dLbl>
              <c:idx val="1"/>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1-918E-4E3A-BBD6-9A3EDFA163A7}"/>
                </c:ext>
              </c:extLst>
            </c:dLbl>
            <c:dLbl>
              <c:idx val="2"/>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2-918E-4E3A-BBD6-9A3EDFA163A7}"/>
                </c:ext>
              </c:extLst>
            </c:dLbl>
            <c:dLbl>
              <c:idx val="3"/>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3-918E-4E3A-BBD6-9A3EDFA163A7}"/>
                </c:ext>
              </c:extLst>
            </c:dLbl>
            <c:dLbl>
              <c:idx val="4"/>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4-918E-4E3A-BBD6-9A3EDFA163A7}"/>
                </c:ext>
              </c:extLst>
            </c:dLbl>
            <c:dLbl>
              <c:idx val="5"/>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5-918E-4E3A-BBD6-9A3EDFA163A7}"/>
                </c:ext>
              </c:extLst>
            </c:dLbl>
            <c:dLbl>
              <c:idx val="6"/>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6-918E-4E3A-BBD6-9A3EDFA163A7}"/>
                </c:ext>
              </c:extLst>
            </c:dLbl>
            <c:dLbl>
              <c:idx val="7"/>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7-918E-4E3A-BBD6-9A3EDFA163A7}"/>
                </c:ext>
              </c:extLst>
            </c:dLbl>
            <c:dLbl>
              <c:idx val="8"/>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8-918E-4E3A-BBD6-9A3EDFA163A7}"/>
                </c:ext>
              </c:extLst>
            </c:dLbl>
            <c:dLbl>
              <c:idx val="9"/>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9-918E-4E3A-BBD6-9A3EDFA163A7}"/>
                </c:ext>
              </c:extLst>
            </c:dLbl>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Market'!$J$4:$J$13</c:f>
              <c:numCache>
                <c:formatCode>0.0\x</c:formatCode>
                <c:ptCount val="10"/>
                <c:pt idx="0">
                  <c:v>14.440628830004627</c:v>
                </c:pt>
                <c:pt idx="1">
                  <c:v>15.442392990293175</c:v>
                </c:pt>
                <c:pt idx="2">
                  <c:v>13.919354665002198</c:v>
                </c:pt>
                <c:pt idx="3">
                  <c:v>17.780714417678698</c:v>
                </c:pt>
                <c:pt idx="4">
                  <c:v>16.052399963761125</c:v>
                </c:pt>
                <c:pt idx="5">
                  <c:v>22.588523588500415</c:v>
                </c:pt>
                <c:pt idx="6">
                  <c:v>14.443407087750449</c:v>
                </c:pt>
                <c:pt idx="7">
                  <c:v>16.032152010509659</c:v>
                </c:pt>
                <c:pt idx="8">
                  <c:v>13.834375174612605</c:v>
                </c:pt>
                <c:pt idx="9">
                  <c:v>14.041600429607385</c:v>
                </c:pt>
              </c:numCache>
            </c:numRef>
          </c:yVal>
          <c:smooth val="0"/>
          <c:extLst>
            <c:ext xmlns:c16="http://schemas.microsoft.com/office/drawing/2014/chart" uri="{C3380CC4-5D6E-409C-BE32-E72D297353CC}">
              <c16:uniqueId val="{0000000A-918E-4E3A-BBD6-9A3EDFA163A7}"/>
            </c:ext>
          </c:extLst>
        </c:ser>
        <c:dLbls>
          <c:showLegendKey val="0"/>
          <c:showVal val="0"/>
          <c:showCatName val="0"/>
          <c:showSerName val="0"/>
          <c:showPercent val="0"/>
          <c:showBubbleSize val="0"/>
        </c:dLbls>
        <c:axId val="26973871"/>
        <c:axId val="43932631"/>
      </c:scatterChart>
      <c:valAx>
        <c:axId val="26973871"/>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43932631"/>
        <c:crosses val="autoZero"/>
        <c:crossBetween val="midCat"/>
        <c:majorUnit val="1"/>
      </c:valAx>
      <c:valAx>
        <c:axId val="43932631"/>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6973871"/>
        <c:crosses val="autoZero"/>
        <c:crossBetween val="midCat"/>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Valuation: Gross NOI Multiple (2016-2025)
EGP figures are aggregate, not per share; shares outstanding grew 5.4% per year on average (60% cumulative,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Gross NOI Multiple (x)</c:v>
          </c:tx>
          <c:spPr>
            <a:ln w="28440">
              <a:solidFill>
                <a:srgbClr val="A31F34"/>
              </a:solidFill>
              <a:round/>
            </a:ln>
          </c:spPr>
          <c:marker>
            <c:symbol val="square"/>
            <c:size val="5"/>
            <c:spPr>
              <a:solidFill>
                <a:srgbClr val="A31F34"/>
              </a:solidFill>
            </c:spPr>
          </c:marker>
          <c:dPt>
            <c:idx val="0"/>
            <c:bubble3D val="0"/>
            <c:extLst>
              <c:ext xmlns:c16="http://schemas.microsoft.com/office/drawing/2014/chart" uri="{C3380CC4-5D6E-409C-BE32-E72D297353CC}">
                <c16:uniqueId val="{00000000-C508-40C7-8137-5EABCF4A081B}"/>
              </c:ext>
            </c:extLst>
          </c:dPt>
          <c:dPt>
            <c:idx val="1"/>
            <c:bubble3D val="0"/>
            <c:extLst>
              <c:ext xmlns:c16="http://schemas.microsoft.com/office/drawing/2014/chart" uri="{C3380CC4-5D6E-409C-BE32-E72D297353CC}">
                <c16:uniqueId val="{00000001-C508-40C7-8137-5EABCF4A081B}"/>
              </c:ext>
            </c:extLst>
          </c:dPt>
          <c:dPt>
            <c:idx val="2"/>
            <c:bubble3D val="0"/>
            <c:extLst>
              <c:ext xmlns:c16="http://schemas.microsoft.com/office/drawing/2014/chart" uri="{C3380CC4-5D6E-409C-BE32-E72D297353CC}">
                <c16:uniqueId val="{00000002-C508-40C7-8137-5EABCF4A081B}"/>
              </c:ext>
            </c:extLst>
          </c:dPt>
          <c:dPt>
            <c:idx val="3"/>
            <c:bubble3D val="0"/>
            <c:extLst>
              <c:ext xmlns:c16="http://schemas.microsoft.com/office/drawing/2014/chart" uri="{C3380CC4-5D6E-409C-BE32-E72D297353CC}">
                <c16:uniqueId val="{00000003-C508-40C7-8137-5EABCF4A081B}"/>
              </c:ext>
            </c:extLst>
          </c:dPt>
          <c:dPt>
            <c:idx val="4"/>
            <c:bubble3D val="0"/>
            <c:extLst>
              <c:ext xmlns:c16="http://schemas.microsoft.com/office/drawing/2014/chart" uri="{C3380CC4-5D6E-409C-BE32-E72D297353CC}">
                <c16:uniqueId val="{00000004-C508-40C7-8137-5EABCF4A081B}"/>
              </c:ext>
            </c:extLst>
          </c:dPt>
          <c:dPt>
            <c:idx val="5"/>
            <c:bubble3D val="0"/>
            <c:extLst>
              <c:ext xmlns:c16="http://schemas.microsoft.com/office/drawing/2014/chart" uri="{C3380CC4-5D6E-409C-BE32-E72D297353CC}">
                <c16:uniqueId val="{00000005-C508-40C7-8137-5EABCF4A081B}"/>
              </c:ext>
            </c:extLst>
          </c:dPt>
          <c:dPt>
            <c:idx val="6"/>
            <c:bubble3D val="0"/>
            <c:extLst>
              <c:ext xmlns:c16="http://schemas.microsoft.com/office/drawing/2014/chart" uri="{C3380CC4-5D6E-409C-BE32-E72D297353CC}">
                <c16:uniqueId val="{00000006-C508-40C7-8137-5EABCF4A081B}"/>
              </c:ext>
            </c:extLst>
          </c:dPt>
          <c:dPt>
            <c:idx val="7"/>
            <c:bubble3D val="0"/>
            <c:extLst>
              <c:ext xmlns:c16="http://schemas.microsoft.com/office/drawing/2014/chart" uri="{C3380CC4-5D6E-409C-BE32-E72D297353CC}">
                <c16:uniqueId val="{00000007-C508-40C7-8137-5EABCF4A081B}"/>
              </c:ext>
            </c:extLst>
          </c:dPt>
          <c:dPt>
            <c:idx val="8"/>
            <c:bubble3D val="0"/>
            <c:extLst>
              <c:ext xmlns:c16="http://schemas.microsoft.com/office/drawing/2014/chart" uri="{C3380CC4-5D6E-409C-BE32-E72D297353CC}">
                <c16:uniqueId val="{00000008-C508-40C7-8137-5EABCF4A081B}"/>
              </c:ext>
            </c:extLst>
          </c:dPt>
          <c:dPt>
            <c:idx val="9"/>
            <c:bubble3D val="0"/>
            <c:extLst>
              <c:ext xmlns:c16="http://schemas.microsoft.com/office/drawing/2014/chart" uri="{C3380CC4-5D6E-409C-BE32-E72D297353CC}">
                <c16:uniqueId val="{00000009-C508-40C7-8137-5EABCF4A081B}"/>
              </c:ext>
            </c:extLst>
          </c:dPt>
          <c:dLbls>
            <c:dLbl>
              <c:idx val="0"/>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0-C508-40C7-8137-5EABCF4A081B}"/>
                </c:ext>
              </c:extLst>
            </c:dLbl>
            <c:dLbl>
              <c:idx val="1"/>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1-C508-40C7-8137-5EABCF4A081B}"/>
                </c:ext>
              </c:extLst>
            </c:dLbl>
            <c:dLbl>
              <c:idx val="2"/>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2-C508-40C7-8137-5EABCF4A081B}"/>
                </c:ext>
              </c:extLst>
            </c:dLbl>
            <c:dLbl>
              <c:idx val="3"/>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3-C508-40C7-8137-5EABCF4A081B}"/>
                </c:ext>
              </c:extLst>
            </c:dLbl>
            <c:dLbl>
              <c:idx val="4"/>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4-C508-40C7-8137-5EABCF4A081B}"/>
                </c:ext>
              </c:extLst>
            </c:dLbl>
            <c:dLbl>
              <c:idx val="5"/>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5-C508-40C7-8137-5EABCF4A081B}"/>
                </c:ext>
              </c:extLst>
            </c:dLbl>
            <c:dLbl>
              <c:idx val="6"/>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6-C508-40C7-8137-5EABCF4A081B}"/>
                </c:ext>
              </c:extLst>
            </c:dLbl>
            <c:dLbl>
              <c:idx val="7"/>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7-C508-40C7-8137-5EABCF4A081B}"/>
                </c:ext>
              </c:extLst>
            </c:dLbl>
            <c:dLbl>
              <c:idx val="8"/>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8-C508-40C7-8137-5EABCF4A081B}"/>
                </c:ext>
              </c:extLst>
            </c:dLbl>
            <c:dLbl>
              <c:idx val="9"/>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9-C508-40C7-8137-5EABCF4A081B}"/>
                </c:ext>
              </c:extLst>
            </c:dLbl>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Market'!$J$4:$J$13</c:f>
              <c:numCache>
                <c:formatCode>0.0\x</c:formatCode>
                <c:ptCount val="10"/>
                <c:pt idx="0">
                  <c:v>16.562922757069231</c:v>
                </c:pt>
                <c:pt idx="1">
                  <c:v>18.501603091144101</c:v>
                </c:pt>
                <c:pt idx="2">
                  <c:v>17.870936564483372</c:v>
                </c:pt>
                <c:pt idx="3">
                  <c:v>22.970388830418432</c:v>
                </c:pt>
                <c:pt idx="4">
                  <c:v>22.784193003214046</c:v>
                </c:pt>
                <c:pt idx="5">
                  <c:v>33.213650103816313</c:v>
                </c:pt>
                <c:pt idx="6">
                  <c:v>19.898382639768833</c:v>
                </c:pt>
                <c:pt idx="7">
                  <c:v>21.716180134278197</c:v>
                </c:pt>
                <c:pt idx="8">
                  <c:v>17.760346500543015</c:v>
                </c:pt>
                <c:pt idx="9">
                  <c:v>17.921705007144951</c:v>
                </c:pt>
              </c:numCache>
            </c:numRef>
          </c:yVal>
          <c:smooth val="0"/>
          <c:extLst>
            <c:ext xmlns:c16="http://schemas.microsoft.com/office/drawing/2014/chart" uri="{C3380CC4-5D6E-409C-BE32-E72D297353CC}">
              <c16:uniqueId val="{0000000A-C508-40C7-8137-5EABCF4A081B}"/>
            </c:ext>
          </c:extLst>
        </c:ser>
        <c:dLbls>
          <c:showLegendKey val="0"/>
          <c:showVal val="0"/>
          <c:showCatName val="0"/>
          <c:showSerName val="0"/>
          <c:showPercent val="0"/>
          <c:showBubbleSize val="0"/>
        </c:dLbls>
        <c:axId val="10519193"/>
        <c:axId val="39418524"/>
      </c:scatterChart>
      <c:valAx>
        <c:axId val="10519193"/>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39418524"/>
        <c:crosses val="autoZero"/>
        <c:crossBetween val="midCat"/>
        <c:majorUnit val="1"/>
      </c:valAx>
      <c:valAx>
        <c:axId val="39418524"/>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0519193"/>
        <c:crosses val="autoZero"/>
        <c:crossBetween val="midCat"/>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800" b="1" strike="noStrike" spc="-1">
                <a:solidFill>
                  <a:srgbClr val="000000"/>
                </a:solidFill>
                <a:latin typeface="Calibri"/>
              </a:defRPr>
            </a:pPr>
            <a:r>
              <a:rPr lang="en-US" sz="1800" b="1" strike="noStrike" spc="-1">
                <a:solidFill>
                  <a:srgbClr val="000000"/>
                </a:solidFill>
                <a:latin typeface="Calibri"/>
              </a:rPr>
              <a:t>STAG Stabilized Implied Cap Rate vs. 10-Yr UST, with Spread (2016-2025)</a:t>
            </a:r>
          </a:p>
        </c:rich>
      </c:tx>
      <c:overlay val="0"/>
      <c:spPr>
        <a:noFill/>
        <a:ln w="0">
          <a:noFill/>
        </a:ln>
      </c:spPr>
    </c:title>
    <c:autoTitleDeleted val="0"/>
    <c:plotArea>
      <c:layout>
        <c:manualLayout>
          <c:layoutTarget val="inner"/>
          <c:xMode val="edge"/>
          <c:yMode val="edge"/>
          <c:x val="0.100036425047187"/>
          <c:y val="0.14011856186003499"/>
          <c:w val="0.79952978575449496"/>
          <c:h val="0.67972900146277604"/>
        </c:manualLayout>
      </c:layout>
      <c:barChart>
        <c:barDir val="col"/>
        <c:grouping val="clustered"/>
        <c:varyColors val="0"/>
        <c:ser>
          <c:idx val="0"/>
          <c:order val="0"/>
          <c:tx>
            <c:strRef>
              <c:f>'STAG vs Market'!$D$3</c:f>
              <c:strCache>
                <c:ptCount val="1"/>
                <c:pt idx="0">
                  <c:v>Spread: Cap Rate less UST (pp)</c:v>
                </c:pt>
              </c:strCache>
            </c:strRef>
          </c:tx>
          <c:spPr>
            <a:solidFill>
              <a:srgbClr val="D9A0A8"/>
            </a:solidFill>
            <a:ln w="0">
              <a:solidFill>
                <a:srgbClr val="B87B85"/>
              </a:solid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Market'!$D$4:$D$13</c:f>
              <c:numCache>
                <c:formatCode>0.00%</c:formatCode>
                <c:ptCount val="10"/>
                <c:pt idx="0">
                  <c:v>4.4749061919118628E-2</c:v>
                </c:pt>
                <c:pt idx="1">
                  <c:v>4.0756802953310599E-2</c:v>
                </c:pt>
                <c:pt idx="2">
                  <c:v>4.4942411093549219E-2</c:v>
                </c:pt>
                <c:pt idx="3">
                  <c:v>3.704070982242072E-2</c:v>
                </c:pt>
                <c:pt idx="4">
                  <c:v>5.2995980803963026E-2</c:v>
                </c:pt>
                <c:pt idx="5">
                  <c:v>2.9070268310456983E-2</c:v>
                </c:pt>
                <c:pt idx="6">
                  <c:v>3.0435741534149977E-2</c:v>
                </c:pt>
                <c:pt idx="7">
                  <c:v>2.3574658083609958E-2</c:v>
                </c:pt>
                <c:pt idx="8">
                  <c:v>2.6483712663445409E-2</c:v>
                </c:pt>
                <c:pt idx="9">
                  <c:v>2.9416953153819446E-2</c:v>
                </c:pt>
              </c:numCache>
            </c:numRef>
          </c:val>
          <c:extLst>
            <c:ext xmlns:c16="http://schemas.microsoft.com/office/drawing/2014/chart" uri="{C3380CC4-5D6E-409C-BE32-E72D297353CC}">
              <c16:uniqueId val="{00000000-8E2A-447F-8D74-62655EB31890}"/>
            </c:ext>
          </c:extLst>
        </c:ser>
        <c:dLbls>
          <c:showLegendKey val="0"/>
          <c:showVal val="0"/>
          <c:showCatName val="0"/>
          <c:showSerName val="0"/>
          <c:showPercent val="0"/>
          <c:showBubbleSize val="0"/>
        </c:dLbls>
        <c:gapWidth val="80"/>
        <c:axId val="77788778"/>
        <c:axId val="29442675"/>
      </c:barChart>
      <c:lineChart>
        <c:grouping val="standard"/>
        <c:varyColors val="0"/>
        <c:ser>
          <c:idx val="1"/>
          <c:order val="1"/>
          <c:tx>
            <c:strRef>
              <c:f>'STAG vs Market'!$B$3</c:f>
              <c:strCache>
                <c:ptCount val="1"/>
                <c:pt idx="0">
                  <c:v>STAG Stabilized Implied Cap Rate (%)</c:v>
                </c:pt>
              </c:strCache>
            </c:strRef>
          </c:tx>
          <c:spPr>
            <a:ln w="28080">
              <a:solidFill>
                <a:srgbClr val="A31F34"/>
              </a:solidFill>
              <a:round/>
            </a:ln>
          </c:spPr>
          <c:marker>
            <c:symbol val="circle"/>
            <c:size val="6"/>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Market'!$B$4:$B$13</c:f>
              <c:numCache>
                <c:formatCode>0.00%</c:formatCode>
                <c:ptCount val="10"/>
                <c:pt idx="0">
                  <c:v>6.9249061919118629E-2</c:v>
                </c:pt>
                <c:pt idx="1">
                  <c:v>6.4756802953310599E-2</c:v>
                </c:pt>
                <c:pt idx="2">
                  <c:v>7.1842411093549219E-2</c:v>
                </c:pt>
                <c:pt idx="3">
                  <c:v>5.6240709822420722E-2</c:v>
                </c:pt>
                <c:pt idx="4">
                  <c:v>6.2295980803963029E-2</c:v>
                </c:pt>
                <c:pt idx="5">
                  <c:v>4.4270268310456981E-2</c:v>
                </c:pt>
                <c:pt idx="6">
                  <c:v>6.9235741534149978E-2</c:v>
                </c:pt>
                <c:pt idx="7">
                  <c:v>6.2374658083609959E-2</c:v>
                </c:pt>
                <c:pt idx="8">
                  <c:v>7.228371266344541E-2</c:v>
                </c:pt>
                <c:pt idx="9">
                  <c:v>7.1216953153819443E-2</c:v>
                </c:pt>
              </c:numCache>
            </c:numRef>
          </c:val>
          <c:smooth val="0"/>
          <c:extLst>
            <c:ext xmlns:c16="http://schemas.microsoft.com/office/drawing/2014/chart" uri="{C3380CC4-5D6E-409C-BE32-E72D297353CC}">
              <c16:uniqueId val="{00000001-8E2A-447F-8D74-62655EB31890}"/>
            </c:ext>
          </c:extLst>
        </c:ser>
        <c:ser>
          <c:idx val="2"/>
          <c:order val="2"/>
          <c:tx>
            <c:strRef>
              <c:f>'STAG vs Market'!$C$3</c:f>
              <c:strCache>
                <c:ptCount val="1"/>
                <c:pt idx="0">
                  <c:v>10-Yr UST Yield (%)</c:v>
                </c:pt>
              </c:strCache>
            </c:strRef>
          </c:tx>
          <c:spPr>
            <a:ln w="28080">
              <a:solidFill>
                <a:srgbClr val="3A3A3A"/>
              </a:solidFill>
              <a:round/>
            </a:ln>
          </c:spPr>
          <c:marker>
            <c:symbol val="circle"/>
            <c:size val="6"/>
            <c:spPr>
              <a:solidFill>
                <a:srgbClr val="3A3A3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Market'!$C$4:$C$13</c:f>
              <c:numCache>
                <c:formatCode>0.00%</c:formatCode>
                <c:ptCount val="10"/>
                <c:pt idx="0">
                  <c:v>2.4500000000000001E-2</c:v>
                </c:pt>
                <c:pt idx="1">
                  <c:v>2.4E-2</c:v>
                </c:pt>
                <c:pt idx="2">
                  <c:v>2.69E-2</c:v>
                </c:pt>
                <c:pt idx="3">
                  <c:v>1.9199999999999998E-2</c:v>
                </c:pt>
                <c:pt idx="4">
                  <c:v>9.300000000000001E-3</c:v>
                </c:pt>
                <c:pt idx="5">
                  <c:v>1.52E-2</c:v>
                </c:pt>
                <c:pt idx="6">
                  <c:v>3.8800000000000001E-2</c:v>
                </c:pt>
                <c:pt idx="7">
                  <c:v>3.8800000000000001E-2</c:v>
                </c:pt>
                <c:pt idx="8">
                  <c:v>4.58E-2</c:v>
                </c:pt>
                <c:pt idx="9">
                  <c:v>4.1799999999999997E-2</c:v>
                </c:pt>
              </c:numCache>
            </c:numRef>
          </c:val>
          <c:smooth val="0"/>
          <c:extLst>
            <c:ext xmlns:c16="http://schemas.microsoft.com/office/drawing/2014/chart" uri="{C3380CC4-5D6E-409C-BE32-E72D297353CC}">
              <c16:uniqueId val="{00000002-8E2A-447F-8D74-62655EB31890}"/>
            </c:ext>
          </c:extLst>
        </c:ser>
        <c:dLbls>
          <c:showLegendKey val="0"/>
          <c:showVal val="0"/>
          <c:showCatName val="0"/>
          <c:showSerName val="0"/>
          <c:showPercent val="0"/>
          <c:showBubbleSize val="0"/>
        </c:dLbls>
        <c:hiLowLines>
          <c:spPr>
            <a:ln w="0">
              <a:noFill/>
            </a:ln>
          </c:spPr>
        </c:hiLowLines>
        <c:marker val="1"/>
        <c:smooth val="0"/>
        <c:axId val="27508238"/>
        <c:axId val="53920959"/>
      </c:lineChart>
      <c:catAx>
        <c:axId val="77788778"/>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29442675"/>
        <c:crosses val="autoZero"/>
        <c:auto val="1"/>
        <c:lblAlgn val="ctr"/>
        <c:lblOffset val="100"/>
        <c:noMultiLvlLbl val="0"/>
      </c:catAx>
      <c:valAx>
        <c:axId val="29442675"/>
        <c:scaling>
          <c:orientation val="minMax"/>
        </c:scaling>
        <c:delete val="0"/>
        <c:axPos val="l"/>
        <c:majorGridlines>
          <c:spPr>
            <a:ln w="0">
              <a:solidFill>
                <a:srgbClr val="B3B3B3"/>
              </a:solidFill>
            </a:ln>
          </c:spPr>
        </c:majorGridlines>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7788778"/>
        <c:crosses val="autoZero"/>
        <c:crossBetween val="between"/>
      </c:valAx>
      <c:catAx>
        <c:axId val="27508238"/>
        <c:scaling>
          <c:orientation val="minMax"/>
        </c:scaling>
        <c:delete val="1"/>
        <c:axPos val="b"/>
        <c:numFmt formatCode="General" sourceLinked="1"/>
        <c:majorTickMark val="none"/>
        <c:minorTickMark val="none"/>
        <c:tickLblPos val="nextTo"/>
        <c:crossAx val="53920959"/>
        <c:crosses val="autoZero"/>
        <c:auto val="1"/>
        <c:lblAlgn val="ctr"/>
        <c:lblOffset val="100"/>
        <c:noMultiLvlLbl val="0"/>
      </c:catAx>
      <c:valAx>
        <c:axId val="53920959"/>
        <c:scaling>
          <c:orientation val="minMax"/>
        </c:scaling>
        <c:delete val="0"/>
        <c:axPos val="r"/>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7508238"/>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800" b="1" strike="noStrike" spc="-1">
                <a:solidFill>
                  <a:srgbClr val="000000"/>
                </a:solidFill>
                <a:latin typeface="Calibri"/>
              </a:defRPr>
            </a:pPr>
            <a:r>
              <a:rPr lang="en-US" sz="1800" b="1" strike="noStrike" spc="-1">
                <a:solidFill>
                  <a:srgbClr val="000000"/>
                </a:solidFill>
                <a:latin typeface="Calibri"/>
              </a:rPr>
              <a:t>STAG: Cap Rate vs. Leveraged Equity Yield (2016-2025)</a:t>
            </a:r>
          </a:p>
        </c:rich>
      </c:tx>
      <c:overlay val="0"/>
      <c:spPr>
        <a:noFill/>
        <a:ln w="0">
          <a:noFill/>
        </a:ln>
      </c:spPr>
    </c:title>
    <c:autoTitleDeleted val="0"/>
    <c:plotArea>
      <c:layout>
        <c:manualLayout>
          <c:layoutTarget val="inner"/>
          <c:xMode val="edge"/>
          <c:yMode val="edge"/>
          <c:x val="0.100036425047187"/>
          <c:y val="0.14011856186003499"/>
          <c:w val="0.79952978575449496"/>
          <c:h val="0.67972900146277604"/>
        </c:manualLayout>
      </c:layout>
      <c:barChart>
        <c:barDir val="col"/>
        <c:grouping val="clustered"/>
        <c:varyColors val="0"/>
        <c:ser>
          <c:idx val="0"/>
          <c:order val="0"/>
          <c:tx>
            <c:strRef>
              <c:f>'STAG vs Market'!$F$3</c:f>
              <c:strCache>
                <c:ptCount val="1"/>
                <c:pt idx="0">
                  <c:v>Leverage Contribution: Lev Yield less Cap Rate (pp)</c:v>
                </c:pt>
              </c:strCache>
            </c:strRef>
          </c:tx>
          <c:spPr>
            <a:solidFill>
              <a:srgbClr val="9DBB9D"/>
            </a:solidFill>
            <a:ln w="0">
              <a:solidFill>
                <a:srgbClr val="7A9A7A"/>
              </a:solid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Market'!$F$4:$F$13</c:f>
              <c:numCache>
                <c:formatCode>0.00%</c:formatCode>
                <c:ptCount val="10"/>
                <c:pt idx="0">
                  <c:v>2.2555555027942292E-2</c:v>
                </c:pt>
                <c:pt idx="1">
                  <c:v>1.7602781627870726E-2</c:v>
                </c:pt>
                <c:pt idx="2">
                  <c:v>2.053424096343584E-2</c:v>
                </c:pt>
                <c:pt idx="3">
                  <c:v>1.0114010411278997E-2</c:v>
                </c:pt>
                <c:pt idx="4">
                  <c:v>1.0652142619106762E-2</c:v>
                </c:pt>
                <c:pt idx="5">
                  <c:v>4.3178415750824706E-3</c:v>
                </c:pt>
                <c:pt idx="6">
                  <c:v>1.8337340383997175E-2</c:v>
                </c:pt>
                <c:pt idx="7">
                  <c:v>1.0653478322312428E-2</c:v>
                </c:pt>
                <c:pt idx="8">
                  <c:v>1.9427795201938297E-2</c:v>
                </c:pt>
                <c:pt idx="9">
                  <c:v>1.6063029830940573E-2</c:v>
                </c:pt>
              </c:numCache>
            </c:numRef>
          </c:val>
          <c:extLst>
            <c:ext xmlns:c16="http://schemas.microsoft.com/office/drawing/2014/chart" uri="{C3380CC4-5D6E-409C-BE32-E72D297353CC}">
              <c16:uniqueId val="{00000000-D787-4165-B03E-CA404F4DED07}"/>
            </c:ext>
          </c:extLst>
        </c:ser>
        <c:dLbls>
          <c:showLegendKey val="0"/>
          <c:showVal val="0"/>
          <c:showCatName val="0"/>
          <c:showSerName val="0"/>
          <c:showPercent val="0"/>
          <c:showBubbleSize val="0"/>
        </c:dLbls>
        <c:gapWidth val="80"/>
        <c:axId val="73088641"/>
        <c:axId val="87008379"/>
      </c:barChart>
      <c:lineChart>
        <c:grouping val="standard"/>
        <c:varyColors val="0"/>
        <c:ser>
          <c:idx val="1"/>
          <c:order val="1"/>
          <c:tx>
            <c:strRef>
              <c:f>'STAG vs Market'!$B$3</c:f>
              <c:strCache>
                <c:ptCount val="1"/>
                <c:pt idx="0">
                  <c:v>STAG Stabilized Implied Cap Rate (%)</c:v>
                </c:pt>
              </c:strCache>
            </c:strRef>
          </c:tx>
          <c:spPr>
            <a:ln w="28080">
              <a:solidFill>
                <a:srgbClr val="A31F34"/>
              </a:solidFill>
              <a:round/>
            </a:ln>
          </c:spPr>
          <c:marker>
            <c:symbol val="circle"/>
            <c:size val="6"/>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Market'!$B$4:$B$13</c:f>
              <c:numCache>
                <c:formatCode>0.00%</c:formatCode>
                <c:ptCount val="10"/>
                <c:pt idx="0">
                  <c:v>6.9249061919118629E-2</c:v>
                </c:pt>
                <c:pt idx="1">
                  <c:v>6.4756802953310599E-2</c:v>
                </c:pt>
                <c:pt idx="2">
                  <c:v>7.1842411093549219E-2</c:v>
                </c:pt>
                <c:pt idx="3">
                  <c:v>5.6240709822420722E-2</c:v>
                </c:pt>
                <c:pt idx="4">
                  <c:v>6.2295980803963029E-2</c:v>
                </c:pt>
                <c:pt idx="5">
                  <c:v>4.4270268310456981E-2</c:v>
                </c:pt>
                <c:pt idx="6">
                  <c:v>6.9235741534149978E-2</c:v>
                </c:pt>
                <c:pt idx="7">
                  <c:v>6.2374658083609959E-2</c:v>
                </c:pt>
                <c:pt idx="8">
                  <c:v>7.228371266344541E-2</c:v>
                </c:pt>
                <c:pt idx="9">
                  <c:v>7.1216953153819443E-2</c:v>
                </c:pt>
              </c:numCache>
            </c:numRef>
          </c:val>
          <c:smooth val="0"/>
          <c:extLst>
            <c:ext xmlns:c16="http://schemas.microsoft.com/office/drawing/2014/chart" uri="{C3380CC4-5D6E-409C-BE32-E72D297353CC}">
              <c16:uniqueId val="{00000001-D787-4165-B03E-CA404F4DED07}"/>
            </c:ext>
          </c:extLst>
        </c:ser>
        <c:ser>
          <c:idx val="2"/>
          <c:order val="2"/>
          <c:tx>
            <c:strRef>
              <c:f>'STAG vs Market'!$E$3</c:f>
              <c:strCache>
                <c:ptCount val="1"/>
                <c:pt idx="0">
                  <c:v>STAG Stabilized Leveraged Equity Yield (%)</c:v>
                </c:pt>
              </c:strCache>
            </c:strRef>
          </c:tx>
          <c:spPr>
            <a:ln w="28080">
              <a:solidFill>
                <a:srgbClr val="3A3A3A"/>
              </a:solidFill>
              <a:round/>
            </a:ln>
          </c:spPr>
          <c:marker>
            <c:symbol val="circle"/>
            <c:size val="6"/>
            <c:spPr>
              <a:solidFill>
                <a:srgbClr val="3A3A3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Market'!$E$4:$E$13</c:f>
              <c:numCache>
                <c:formatCode>0.00%</c:formatCode>
                <c:ptCount val="10"/>
                <c:pt idx="0">
                  <c:v>9.1804616947060921E-2</c:v>
                </c:pt>
                <c:pt idx="1">
                  <c:v>8.2359584581181325E-2</c:v>
                </c:pt>
                <c:pt idx="2">
                  <c:v>9.2376652056985059E-2</c:v>
                </c:pt>
                <c:pt idx="3">
                  <c:v>6.6354720233699718E-2</c:v>
                </c:pt>
                <c:pt idx="4">
                  <c:v>7.2948123423069791E-2</c:v>
                </c:pt>
                <c:pt idx="5">
                  <c:v>4.8588109885539452E-2</c:v>
                </c:pt>
                <c:pt idx="6">
                  <c:v>8.7573081918147153E-2</c:v>
                </c:pt>
                <c:pt idx="7">
                  <c:v>7.3028136405922386E-2</c:v>
                </c:pt>
                <c:pt idx="8">
                  <c:v>9.1711507865383707E-2</c:v>
                </c:pt>
                <c:pt idx="9">
                  <c:v>8.7279982984760016E-2</c:v>
                </c:pt>
              </c:numCache>
            </c:numRef>
          </c:val>
          <c:smooth val="0"/>
          <c:extLst>
            <c:ext xmlns:c16="http://schemas.microsoft.com/office/drawing/2014/chart" uri="{C3380CC4-5D6E-409C-BE32-E72D297353CC}">
              <c16:uniqueId val="{00000002-D787-4165-B03E-CA404F4DED07}"/>
            </c:ext>
          </c:extLst>
        </c:ser>
        <c:dLbls>
          <c:showLegendKey val="0"/>
          <c:showVal val="0"/>
          <c:showCatName val="0"/>
          <c:showSerName val="0"/>
          <c:showPercent val="0"/>
          <c:showBubbleSize val="0"/>
        </c:dLbls>
        <c:hiLowLines>
          <c:spPr>
            <a:ln w="0">
              <a:noFill/>
            </a:ln>
          </c:spPr>
        </c:hiLowLines>
        <c:marker val="1"/>
        <c:smooth val="0"/>
        <c:axId val="88742680"/>
        <c:axId val="85537468"/>
      </c:lineChart>
      <c:catAx>
        <c:axId val="73088641"/>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87008379"/>
        <c:crosses val="autoZero"/>
        <c:auto val="1"/>
        <c:lblAlgn val="ctr"/>
        <c:lblOffset val="100"/>
        <c:noMultiLvlLbl val="0"/>
      </c:catAx>
      <c:valAx>
        <c:axId val="87008379"/>
        <c:scaling>
          <c:orientation val="minMax"/>
        </c:scaling>
        <c:delete val="0"/>
        <c:axPos val="l"/>
        <c:majorGridlines>
          <c:spPr>
            <a:ln w="0">
              <a:solidFill>
                <a:srgbClr val="B3B3B3"/>
              </a:solidFill>
            </a:ln>
          </c:spPr>
        </c:majorGridlines>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3088641"/>
        <c:crosses val="autoZero"/>
        <c:crossBetween val="between"/>
      </c:valAx>
      <c:catAx>
        <c:axId val="88742680"/>
        <c:scaling>
          <c:orientation val="minMax"/>
        </c:scaling>
        <c:delete val="1"/>
        <c:axPos val="b"/>
        <c:numFmt formatCode="General" sourceLinked="1"/>
        <c:majorTickMark val="none"/>
        <c:minorTickMark val="none"/>
        <c:tickLblPos val="nextTo"/>
        <c:crossAx val="85537468"/>
        <c:crosses val="autoZero"/>
        <c:auto val="1"/>
        <c:lblAlgn val="ctr"/>
        <c:lblOffset val="100"/>
        <c:noMultiLvlLbl val="0"/>
      </c:catAx>
      <c:valAx>
        <c:axId val="85537468"/>
        <c:scaling>
          <c:orientation val="minMax"/>
        </c:scaling>
        <c:delete val="0"/>
        <c:axPos val="r"/>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8742680"/>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9.0036093910394396E-2"/>
          <c:y val="0.20016937408576499"/>
          <c:w val="0.81956356170734102"/>
          <c:h val="0.55962737701131704"/>
        </c:manualLayout>
      </c:layout>
      <c:barChart>
        <c:barDir val="col"/>
        <c:grouping val="stacked"/>
        <c:varyColors val="0"/>
        <c:ser>
          <c:idx val="0"/>
          <c:order val="0"/>
          <c:tx>
            <c:v>Annual NOI ($M)</c:v>
          </c:tx>
          <c:spPr>
            <a:solidFill>
              <a:srgbClr val="A31F34"/>
            </a:solidFill>
            <a:ln w="0">
              <a:noFill/>
            </a:ln>
          </c:spPr>
          <c:invertIfNegative val="0"/>
          <c:dPt>
            <c:idx val="1"/>
            <c:invertIfNegative val="0"/>
            <c:bubble3D val="0"/>
            <c:spPr>
              <a:solidFill>
                <a:srgbClr val="A31F34"/>
              </a:solidFill>
              <a:ln w="0">
                <a:noFill/>
              </a:ln>
            </c:spPr>
            <c:extLst>
              <c:ext xmlns:c16="http://schemas.microsoft.com/office/drawing/2014/chart" uri="{C3380CC4-5D6E-409C-BE32-E72D297353CC}">
                <c16:uniqueId val="{00000001-E8B6-4573-AF5A-DE51C94396C5}"/>
              </c:ext>
            </c:extLst>
          </c:dPt>
          <c:dPt>
            <c:idx val="2"/>
            <c:invertIfNegative val="0"/>
            <c:bubble3D val="0"/>
            <c:spPr>
              <a:solidFill>
                <a:srgbClr val="A31F34"/>
              </a:solidFill>
              <a:ln w="0">
                <a:noFill/>
              </a:ln>
            </c:spPr>
            <c:extLst>
              <c:ext xmlns:c16="http://schemas.microsoft.com/office/drawing/2014/chart" uri="{C3380CC4-5D6E-409C-BE32-E72D297353CC}">
                <c16:uniqueId val="{00000003-E8B6-4573-AF5A-DE51C94396C5}"/>
              </c:ext>
            </c:extLst>
          </c:dPt>
          <c:dPt>
            <c:idx val="3"/>
            <c:invertIfNegative val="0"/>
            <c:bubble3D val="0"/>
            <c:spPr>
              <a:solidFill>
                <a:srgbClr val="A31F34"/>
              </a:solidFill>
              <a:ln w="0">
                <a:noFill/>
              </a:ln>
            </c:spPr>
            <c:extLst>
              <c:ext xmlns:c16="http://schemas.microsoft.com/office/drawing/2014/chart" uri="{C3380CC4-5D6E-409C-BE32-E72D297353CC}">
                <c16:uniqueId val="{00000005-E8B6-4573-AF5A-DE51C94396C5}"/>
              </c:ext>
            </c:extLst>
          </c:dPt>
          <c:dPt>
            <c:idx val="4"/>
            <c:invertIfNegative val="0"/>
            <c:bubble3D val="0"/>
            <c:spPr>
              <a:solidFill>
                <a:srgbClr val="A31F34"/>
              </a:solidFill>
              <a:ln w="0">
                <a:noFill/>
              </a:ln>
            </c:spPr>
            <c:extLst>
              <c:ext xmlns:c16="http://schemas.microsoft.com/office/drawing/2014/chart" uri="{C3380CC4-5D6E-409C-BE32-E72D297353CC}">
                <c16:uniqueId val="{00000007-E8B6-4573-AF5A-DE51C94396C5}"/>
              </c:ext>
            </c:extLst>
          </c:dPt>
          <c:dPt>
            <c:idx val="5"/>
            <c:invertIfNegative val="0"/>
            <c:bubble3D val="0"/>
            <c:spPr>
              <a:solidFill>
                <a:srgbClr val="A31F34"/>
              </a:solidFill>
              <a:ln w="0">
                <a:noFill/>
              </a:ln>
            </c:spPr>
            <c:extLst>
              <c:ext xmlns:c16="http://schemas.microsoft.com/office/drawing/2014/chart" uri="{C3380CC4-5D6E-409C-BE32-E72D297353CC}">
                <c16:uniqueId val="{00000009-E8B6-4573-AF5A-DE51C94396C5}"/>
              </c:ext>
            </c:extLst>
          </c:dPt>
          <c:dPt>
            <c:idx val="6"/>
            <c:invertIfNegative val="0"/>
            <c:bubble3D val="0"/>
            <c:spPr>
              <a:solidFill>
                <a:srgbClr val="A31F34"/>
              </a:solidFill>
              <a:ln w="0">
                <a:noFill/>
              </a:ln>
            </c:spPr>
            <c:extLst>
              <c:ext xmlns:c16="http://schemas.microsoft.com/office/drawing/2014/chart" uri="{C3380CC4-5D6E-409C-BE32-E72D297353CC}">
                <c16:uniqueId val="{0000000B-E8B6-4573-AF5A-DE51C94396C5}"/>
              </c:ext>
            </c:extLst>
          </c:dPt>
          <c:dPt>
            <c:idx val="7"/>
            <c:invertIfNegative val="0"/>
            <c:bubble3D val="0"/>
            <c:spPr>
              <a:solidFill>
                <a:srgbClr val="A31F34"/>
              </a:solidFill>
              <a:ln w="0">
                <a:noFill/>
              </a:ln>
            </c:spPr>
            <c:extLst>
              <c:ext xmlns:c16="http://schemas.microsoft.com/office/drawing/2014/chart" uri="{C3380CC4-5D6E-409C-BE32-E72D297353CC}">
                <c16:uniqueId val="{0000000D-E8B6-4573-AF5A-DE51C94396C5}"/>
              </c:ext>
            </c:extLst>
          </c:dPt>
          <c:dPt>
            <c:idx val="8"/>
            <c:invertIfNegative val="0"/>
            <c:bubble3D val="0"/>
            <c:spPr>
              <a:solidFill>
                <a:srgbClr val="A31F34"/>
              </a:solidFill>
              <a:ln w="0">
                <a:noFill/>
              </a:ln>
            </c:spPr>
            <c:extLst>
              <c:ext xmlns:c16="http://schemas.microsoft.com/office/drawing/2014/chart" uri="{C3380CC4-5D6E-409C-BE32-E72D297353CC}">
                <c16:uniqueId val="{0000000F-E8B6-4573-AF5A-DE51C94396C5}"/>
              </c:ext>
            </c:extLst>
          </c:dPt>
          <c:dPt>
            <c:idx val="9"/>
            <c:invertIfNegative val="0"/>
            <c:bubble3D val="0"/>
            <c:spPr>
              <a:solidFill>
                <a:srgbClr val="A31F34"/>
              </a:solidFill>
              <a:ln w="0">
                <a:noFill/>
              </a:ln>
            </c:spPr>
            <c:extLst>
              <c:ext xmlns:c16="http://schemas.microsoft.com/office/drawing/2014/chart" uri="{C3380CC4-5D6E-409C-BE32-E72D297353CC}">
                <c16:uniqueId val="{00000011-E8B6-4573-AF5A-DE51C94396C5}"/>
              </c:ext>
            </c:extLst>
          </c:dPt>
          <c:dLbls>
            <c:dLbl>
              <c:idx val="0"/>
              <c:delete val="1"/>
              <c:extLst>
                <c:ext xmlns:c15="http://schemas.microsoft.com/office/drawing/2012/chart" uri="{CE6537A1-D6FC-4f65-9D91-7224C49458BB}"/>
                <c:ext xmlns:c16="http://schemas.microsoft.com/office/drawing/2014/chart" uri="{C3380CC4-5D6E-409C-BE32-E72D297353CC}">
                  <c16:uniqueId val="{00000012-E8B6-4573-AF5A-DE51C94396C5}"/>
                </c:ext>
              </c:extLst>
            </c:dLbl>
            <c:dLbl>
              <c:idx val="1"/>
              <c:layout>
                <c:manualLayout>
                  <c:x val="0"/>
                  <c:y val="-0.06"/>
                </c:manualLayout>
              </c:layout>
              <c:tx>
                <c:rich>
                  <a:bodyPr/>
                  <a:lstStyle/>
                  <a:p>
                    <a:pPr>
                      <a:defRPr sz="1000" b="1">
                        <a:solidFill>
                          <a:srgbClr val="A31F34"/>
                        </a:solidFill>
                      </a:defRPr>
                    </a:pPr>
                    <a:fld id="{A57F1D9B-AFC8-43D5-B598-03BF9FEA9ACE}"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8B6-4573-AF5A-DE51C94396C5}"/>
                </c:ext>
              </c:extLst>
            </c:dLbl>
            <c:dLbl>
              <c:idx val="2"/>
              <c:layout>
                <c:manualLayout>
                  <c:x val="0"/>
                  <c:y val="-0.06"/>
                </c:manualLayout>
              </c:layout>
              <c:tx>
                <c:rich>
                  <a:bodyPr/>
                  <a:lstStyle/>
                  <a:p>
                    <a:pPr>
                      <a:defRPr sz="1000" b="1">
                        <a:solidFill>
                          <a:srgbClr val="A31F34"/>
                        </a:solidFill>
                      </a:defRPr>
                    </a:pPr>
                    <a:fld id="{0C8912DD-0FD0-41C6-873F-1C25DB7657BC}"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8B6-4573-AF5A-DE51C94396C5}"/>
                </c:ext>
              </c:extLst>
            </c:dLbl>
            <c:dLbl>
              <c:idx val="3"/>
              <c:layout>
                <c:manualLayout>
                  <c:x val="0"/>
                  <c:y val="-0.06"/>
                </c:manualLayout>
              </c:layout>
              <c:tx>
                <c:rich>
                  <a:bodyPr/>
                  <a:lstStyle/>
                  <a:p>
                    <a:pPr>
                      <a:defRPr sz="1000" b="1">
                        <a:solidFill>
                          <a:srgbClr val="A31F34"/>
                        </a:solidFill>
                      </a:defRPr>
                    </a:pPr>
                    <a:fld id="{E0066AAA-CDFA-4EFF-BE32-3543AC83FC54}"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8B6-4573-AF5A-DE51C94396C5}"/>
                </c:ext>
              </c:extLst>
            </c:dLbl>
            <c:dLbl>
              <c:idx val="4"/>
              <c:layout>
                <c:manualLayout>
                  <c:x val="0"/>
                  <c:y val="-0.06"/>
                </c:manualLayout>
              </c:layout>
              <c:tx>
                <c:rich>
                  <a:bodyPr/>
                  <a:lstStyle/>
                  <a:p>
                    <a:pPr>
                      <a:defRPr sz="1000" b="1">
                        <a:solidFill>
                          <a:srgbClr val="A31F34"/>
                        </a:solidFill>
                      </a:defRPr>
                    </a:pPr>
                    <a:fld id="{C323D3F4-3932-4167-939D-E8503048E4AF}"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8B6-4573-AF5A-DE51C94396C5}"/>
                </c:ext>
              </c:extLst>
            </c:dLbl>
            <c:dLbl>
              <c:idx val="5"/>
              <c:layout>
                <c:manualLayout>
                  <c:x val="0"/>
                  <c:y val="-0.06"/>
                </c:manualLayout>
              </c:layout>
              <c:tx>
                <c:rich>
                  <a:bodyPr/>
                  <a:lstStyle/>
                  <a:p>
                    <a:pPr>
                      <a:defRPr sz="1000" b="1">
                        <a:solidFill>
                          <a:srgbClr val="A31F34"/>
                        </a:solidFill>
                      </a:defRPr>
                    </a:pPr>
                    <a:fld id="{C91BEB1B-8A7D-414C-A065-9B3460302C6B}"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8B6-4573-AF5A-DE51C94396C5}"/>
                </c:ext>
              </c:extLst>
            </c:dLbl>
            <c:dLbl>
              <c:idx val="6"/>
              <c:layout>
                <c:manualLayout>
                  <c:x val="0"/>
                  <c:y val="-0.06"/>
                </c:manualLayout>
              </c:layout>
              <c:tx>
                <c:rich>
                  <a:bodyPr/>
                  <a:lstStyle/>
                  <a:p>
                    <a:pPr>
                      <a:defRPr sz="1000" b="1">
                        <a:solidFill>
                          <a:srgbClr val="A31F34"/>
                        </a:solidFill>
                      </a:defRPr>
                    </a:pPr>
                    <a:fld id="{DFB8075B-E4DD-44E1-80C8-BA378C08C8D5}"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8B6-4573-AF5A-DE51C94396C5}"/>
                </c:ext>
              </c:extLst>
            </c:dLbl>
            <c:dLbl>
              <c:idx val="7"/>
              <c:layout>
                <c:manualLayout>
                  <c:x val="0"/>
                  <c:y val="-0.06"/>
                </c:manualLayout>
              </c:layout>
              <c:tx>
                <c:rich>
                  <a:bodyPr/>
                  <a:lstStyle/>
                  <a:p>
                    <a:pPr>
                      <a:defRPr sz="1000" b="1">
                        <a:solidFill>
                          <a:srgbClr val="A31F34"/>
                        </a:solidFill>
                      </a:defRPr>
                    </a:pPr>
                    <a:fld id="{FB3B28B1-E0E1-4097-9BAA-801CB2D6AE51}"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8B6-4573-AF5A-DE51C94396C5}"/>
                </c:ext>
              </c:extLst>
            </c:dLbl>
            <c:dLbl>
              <c:idx val="8"/>
              <c:layout>
                <c:manualLayout>
                  <c:x val="0"/>
                  <c:y val="-0.06"/>
                </c:manualLayout>
              </c:layout>
              <c:tx>
                <c:rich>
                  <a:bodyPr/>
                  <a:lstStyle/>
                  <a:p>
                    <a:pPr>
                      <a:defRPr sz="1000" b="1">
                        <a:solidFill>
                          <a:srgbClr val="A31F34"/>
                        </a:solidFill>
                      </a:defRPr>
                    </a:pPr>
                    <a:fld id="{2A25C886-F86C-40A6-887A-1140F3320F00}"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8B6-4573-AF5A-DE51C94396C5}"/>
                </c:ext>
              </c:extLst>
            </c:dLbl>
            <c:dLbl>
              <c:idx val="9"/>
              <c:layout>
                <c:manualLayout>
                  <c:x val="0"/>
                  <c:y val="-0.06"/>
                </c:manualLayout>
              </c:layout>
              <c:tx>
                <c:rich>
                  <a:bodyPr/>
                  <a:lstStyle/>
                  <a:p>
                    <a:pPr>
                      <a:defRPr sz="1000" b="1">
                        <a:solidFill>
                          <a:srgbClr val="A31F34"/>
                        </a:solidFill>
                      </a:defRPr>
                    </a:pPr>
                    <a:fld id="{6D1764BA-8ED3-47C1-8FC0-6A3E02EBF774}"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8B6-4573-AF5A-DE51C94396C5}"/>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Market'!$L$4:$L$13</c:f>
              <c:numCache>
                <c:formatCode>#,##0</c:formatCode>
                <c:ptCount val="10"/>
                <c:pt idx="0">
                  <c:v>201.12899999999999</c:v>
                </c:pt>
                <c:pt idx="1">
                  <c:v>243.334</c:v>
                </c:pt>
                <c:pt idx="2">
                  <c:v>281.97199999999998</c:v>
                </c:pt>
                <c:pt idx="3">
                  <c:v>330.77100000000002</c:v>
                </c:pt>
                <c:pt idx="4">
                  <c:v>394.05200000000002</c:v>
                </c:pt>
                <c:pt idx="5">
                  <c:v>454.173</c:v>
                </c:pt>
                <c:pt idx="6">
                  <c:v>531.64400000000001</c:v>
                </c:pt>
                <c:pt idx="7">
                  <c:v>568.23900000000003</c:v>
                </c:pt>
                <c:pt idx="8">
                  <c:v>612.55600000000004</c:v>
                </c:pt>
                <c:pt idx="9">
                  <c:v>673.35900000000004</c:v>
                </c:pt>
              </c:numCache>
            </c:numRef>
          </c:val>
          <c:extLst>
            <c:ext xmlns:c15="http://schemas.microsoft.com/office/drawing/2012/chart" uri="{02D57815-91ED-43cb-92C2-25804820EDAC}">
              <c15:datalabelsRange>
                <c15:f>'STAG vs Market'!$AE$4:$AE$13</c15:f>
                <c15:dlblRangeCache>
                  <c:ptCount val="10"/>
                  <c:pt idx="1">
                    <c:v>+21%</c:v>
                  </c:pt>
                  <c:pt idx="2">
                    <c:v>+16%</c:v>
                  </c:pt>
                  <c:pt idx="3">
                    <c:v>+17%</c:v>
                  </c:pt>
                  <c:pt idx="4">
                    <c:v>+19%</c:v>
                  </c:pt>
                  <c:pt idx="5">
                    <c:v>+15%</c:v>
                  </c:pt>
                  <c:pt idx="6">
                    <c:v>+17%</c:v>
                  </c:pt>
                  <c:pt idx="7">
                    <c:v>+7%</c:v>
                  </c:pt>
                  <c:pt idx="8">
                    <c:v>+8%</c:v>
                  </c:pt>
                  <c:pt idx="9">
                    <c:v>+10%</c:v>
                  </c:pt>
                </c15:dlblRangeCache>
              </c15:datalabelsRange>
            </c:ext>
            <c:ext xmlns:c16="http://schemas.microsoft.com/office/drawing/2014/chart" uri="{C3380CC4-5D6E-409C-BE32-E72D297353CC}">
              <c16:uniqueId val="{00000013-E8B6-4573-AF5A-DE51C94396C5}"/>
            </c:ext>
          </c:extLst>
        </c:ser>
        <c:ser>
          <c:idx val="1"/>
          <c:order val="1"/>
          <c:tx>
            <c:v>Stabilized TEV less NOI ($M)</c:v>
          </c:tx>
          <c:spPr>
            <a:solidFill>
              <a:srgbClr val="D9D9D9"/>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Market'!$Q$4:$Q$13</c:f>
              <c:numCache>
                <c:formatCode>#,##0</c:formatCode>
                <c:ptCount val="10"/>
                <c:pt idx="0">
                  <c:v>2703.3002359500006</c:v>
                </c:pt>
                <c:pt idx="1">
                  <c:v>3514.3252558999998</c:v>
                </c:pt>
                <c:pt idx="2">
                  <c:v>3642.8962735999994</c:v>
                </c:pt>
                <c:pt idx="3">
                  <c:v>5550.5736886500008</c:v>
                </c:pt>
                <c:pt idx="4">
                  <c:v>5931.4283105200002</c:v>
                </c:pt>
                <c:pt idx="5">
                  <c:v>9804.9245237599989</c:v>
                </c:pt>
                <c:pt idx="6">
                  <c:v>7147.1067177599998</c:v>
                </c:pt>
                <c:pt idx="7">
                  <c:v>8541.8550262999997</c:v>
                </c:pt>
                <c:pt idx="8">
                  <c:v>7861.7735194599991</c:v>
                </c:pt>
                <c:pt idx="9">
                  <c:v>8781.6790236799989</c:v>
                </c:pt>
              </c:numCache>
            </c:numRef>
          </c:val>
          <c:extLst>
            <c:ext xmlns:c16="http://schemas.microsoft.com/office/drawing/2014/chart" uri="{C3380CC4-5D6E-409C-BE32-E72D297353CC}">
              <c16:uniqueId val="{00000014-E8B6-4573-AF5A-DE51C94396C5}"/>
            </c:ext>
          </c:extLst>
        </c:ser>
        <c:dLbls>
          <c:showLegendKey val="0"/>
          <c:showVal val="0"/>
          <c:showCatName val="0"/>
          <c:showSerName val="0"/>
          <c:showPercent val="0"/>
          <c:showBubbleSize val="0"/>
        </c:dLbls>
        <c:gapWidth val="150"/>
        <c:overlap val="100"/>
        <c:axId val="28454647"/>
        <c:axId val="77579503"/>
      </c:barChart>
      <c:lineChart>
        <c:grouping val="stacked"/>
        <c:varyColors val="0"/>
        <c:ser>
          <c:idx val="2"/>
          <c:order val="2"/>
          <c:tx>
            <c:v>Gross NOI Multiple (right)</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Market'!$J$4:$J$13</c:f>
              <c:numCache>
                <c:formatCode>0.0\x</c:formatCode>
                <c:ptCount val="10"/>
                <c:pt idx="0">
                  <c:v>14.440628830004627</c:v>
                </c:pt>
                <c:pt idx="1">
                  <c:v>15.442392990293175</c:v>
                </c:pt>
                <c:pt idx="2">
                  <c:v>13.919354665002198</c:v>
                </c:pt>
                <c:pt idx="3">
                  <c:v>17.780714417678698</c:v>
                </c:pt>
                <c:pt idx="4">
                  <c:v>16.052399963761125</c:v>
                </c:pt>
                <c:pt idx="5">
                  <c:v>22.588523588500415</c:v>
                </c:pt>
                <c:pt idx="6">
                  <c:v>14.443407087750449</c:v>
                </c:pt>
                <c:pt idx="7">
                  <c:v>16.032152010509659</c:v>
                </c:pt>
                <c:pt idx="8">
                  <c:v>13.834375174612605</c:v>
                </c:pt>
                <c:pt idx="9">
                  <c:v>14.041600429607385</c:v>
                </c:pt>
              </c:numCache>
            </c:numRef>
          </c:val>
          <c:smooth val="0"/>
          <c:extLst>
            <c:ext xmlns:c16="http://schemas.microsoft.com/office/drawing/2014/chart" uri="{C3380CC4-5D6E-409C-BE32-E72D297353CC}">
              <c16:uniqueId val="{00000015-E8B6-4573-AF5A-DE51C94396C5}"/>
            </c:ext>
          </c:extLst>
        </c:ser>
        <c:dLbls>
          <c:showLegendKey val="0"/>
          <c:showVal val="0"/>
          <c:showCatName val="0"/>
          <c:showSerName val="0"/>
          <c:showPercent val="0"/>
          <c:showBubbleSize val="0"/>
        </c:dLbls>
        <c:hiLowLines>
          <c:spPr>
            <a:ln w="0">
              <a:noFill/>
            </a:ln>
          </c:spPr>
        </c:hiLowLines>
        <c:marker val="1"/>
        <c:smooth val="0"/>
        <c:axId val="61991417"/>
        <c:axId val="41272619"/>
      </c:lineChart>
      <c:catAx>
        <c:axId val="28454647"/>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77579503"/>
        <c:crosses val="autoZero"/>
        <c:auto val="1"/>
        <c:lblAlgn val="ctr"/>
        <c:lblOffset val="100"/>
        <c:noMultiLvlLbl val="0"/>
      </c:catAx>
      <c:valAx>
        <c:axId val="77579503"/>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8454647"/>
        <c:crosses val="autoZero"/>
        <c:crossBetween val="between"/>
      </c:valAx>
      <c:catAx>
        <c:axId val="61991417"/>
        <c:scaling>
          <c:orientation val="minMax"/>
        </c:scaling>
        <c:delete val="1"/>
        <c:axPos val="b"/>
        <c:numFmt formatCode="General" sourceLinked="1"/>
        <c:majorTickMark val="none"/>
        <c:minorTickMark val="none"/>
        <c:tickLblPos val="nextTo"/>
        <c:crossAx val="41272619"/>
        <c:crosses val="autoZero"/>
        <c:auto val="1"/>
        <c:lblAlgn val="ctr"/>
        <c:lblOffset val="100"/>
        <c:noMultiLvlLbl val="0"/>
      </c:catAx>
      <c:valAx>
        <c:axId val="41272619"/>
        <c:scaling>
          <c:orientation val="minMax"/>
        </c:scaling>
        <c:delete val="0"/>
        <c:axPos val="r"/>
        <c:numFmt formatCode="0.0\x"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1991417"/>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9.0036093910394396E-2"/>
          <c:y val="0.20016937408576499"/>
          <c:w val="0.81956356170734102"/>
          <c:h val="0.55962737701131704"/>
        </c:manualLayout>
      </c:layout>
      <c:barChart>
        <c:barDir val="col"/>
        <c:grouping val="stacked"/>
        <c:varyColors val="0"/>
        <c:ser>
          <c:idx val="0"/>
          <c:order val="0"/>
          <c:tx>
            <c:v>Leveraged Property Cash Flow ($M)</c:v>
          </c:tx>
          <c:spPr>
            <a:solidFill>
              <a:srgbClr val="A31F34"/>
            </a:solidFill>
            <a:ln w="0">
              <a:noFill/>
            </a:ln>
          </c:spPr>
          <c:invertIfNegative val="0"/>
          <c:dPt>
            <c:idx val="1"/>
            <c:invertIfNegative val="0"/>
            <c:bubble3D val="0"/>
            <c:spPr>
              <a:solidFill>
                <a:srgbClr val="A31F34"/>
              </a:solidFill>
              <a:ln w="0">
                <a:noFill/>
              </a:ln>
            </c:spPr>
            <c:extLst>
              <c:ext xmlns:c16="http://schemas.microsoft.com/office/drawing/2014/chart" uri="{C3380CC4-5D6E-409C-BE32-E72D297353CC}">
                <c16:uniqueId val="{00000001-460B-48C1-9FDA-CA83837502A9}"/>
              </c:ext>
            </c:extLst>
          </c:dPt>
          <c:dPt>
            <c:idx val="2"/>
            <c:invertIfNegative val="0"/>
            <c:bubble3D val="0"/>
            <c:spPr>
              <a:solidFill>
                <a:srgbClr val="A31F34"/>
              </a:solidFill>
              <a:ln w="0">
                <a:noFill/>
              </a:ln>
            </c:spPr>
            <c:extLst>
              <c:ext xmlns:c16="http://schemas.microsoft.com/office/drawing/2014/chart" uri="{C3380CC4-5D6E-409C-BE32-E72D297353CC}">
                <c16:uniqueId val="{00000003-460B-48C1-9FDA-CA83837502A9}"/>
              </c:ext>
            </c:extLst>
          </c:dPt>
          <c:dPt>
            <c:idx val="3"/>
            <c:invertIfNegative val="0"/>
            <c:bubble3D val="0"/>
            <c:spPr>
              <a:solidFill>
                <a:srgbClr val="A31F34"/>
              </a:solidFill>
              <a:ln w="0">
                <a:noFill/>
              </a:ln>
            </c:spPr>
            <c:extLst>
              <c:ext xmlns:c16="http://schemas.microsoft.com/office/drawing/2014/chart" uri="{C3380CC4-5D6E-409C-BE32-E72D297353CC}">
                <c16:uniqueId val="{00000005-460B-48C1-9FDA-CA83837502A9}"/>
              </c:ext>
            </c:extLst>
          </c:dPt>
          <c:dPt>
            <c:idx val="4"/>
            <c:invertIfNegative val="0"/>
            <c:bubble3D val="0"/>
            <c:spPr>
              <a:solidFill>
                <a:srgbClr val="A31F34"/>
              </a:solidFill>
              <a:ln w="0">
                <a:noFill/>
              </a:ln>
            </c:spPr>
            <c:extLst>
              <c:ext xmlns:c16="http://schemas.microsoft.com/office/drawing/2014/chart" uri="{C3380CC4-5D6E-409C-BE32-E72D297353CC}">
                <c16:uniqueId val="{00000007-460B-48C1-9FDA-CA83837502A9}"/>
              </c:ext>
            </c:extLst>
          </c:dPt>
          <c:dPt>
            <c:idx val="5"/>
            <c:invertIfNegative val="0"/>
            <c:bubble3D val="0"/>
            <c:spPr>
              <a:solidFill>
                <a:srgbClr val="A31F34"/>
              </a:solidFill>
              <a:ln w="0">
                <a:noFill/>
              </a:ln>
            </c:spPr>
            <c:extLst>
              <c:ext xmlns:c16="http://schemas.microsoft.com/office/drawing/2014/chart" uri="{C3380CC4-5D6E-409C-BE32-E72D297353CC}">
                <c16:uniqueId val="{00000009-460B-48C1-9FDA-CA83837502A9}"/>
              </c:ext>
            </c:extLst>
          </c:dPt>
          <c:dPt>
            <c:idx val="6"/>
            <c:invertIfNegative val="0"/>
            <c:bubble3D val="0"/>
            <c:spPr>
              <a:solidFill>
                <a:srgbClr val="A31F34"/>
              </a:solidFill>
              <a:ln w="0">
                <a:noFill/>
              </a:ln>
            </c:spPr>
            <c:extLst>
              <c:ext xmlns:c16="http://schemas.microsoft.com/office/drawing/2014/chart" uri="{C3380CC4-5D6E-409C-BE32-E72D297353CC}">
                <c16:uniqueId val="{0000000B-460B-48C1-9FDA-CA83837502A9}"/>
              </c:ext>
            </c:extLst>
          </c:dPt>
          <c:dPt>
            <c:idx val="7"/>
            <c:invertIfNegative val="0"/>
            <c:bubble3D val="0"/>
            <c:spPr>
              <a:solidFill>
                <a:srgbClr val="A31F34"/>
              </a:solidFill>
              <a:ln w="0">
                <a:noFill/>
              </a:ln>
            </c:spPr>
            <c:extLst>
              <c:ext xmlns:c16="http://schemas.microsoft.com/office/drawing/2014/chart" uri="{C3380CC4-5D6E-409C-BE32-E72D297353CC}">
                <c16:uniqueId val="{0000000D-460B-48C1-9FDA-CA83837502A9}"/>
              </c:ext>
            </c:extLst>
          </c:dPt>
          <c:dPt>
            <c:idx val="8"/>
            <c:invertIfNegative val="0"/>
            <c:bubble3D val="0"/>
            <c:spPr>
              <a:solidFill>
                <a:srgbClr val="A31F34"/>
              </a:solidFill>
              <a:ln w="0">
                <a:noFill/>
              </a:ln>
            </c:spPr>
            <c:extLst>
              <c:ext xmlns:c16="http://schemas.microsoft.com/office/drawing/2014/chart" uri="{C3380CC4-5D6E-409C-BE32-E72D297353CC}">
                <c16:uniqueId val="{0000000F-460B-48C1-9FDA-CA83837502A9}"/>
              </c:ext>
            </c:extLst>
          </c:dPt>
          <c:dPt>
            <c:idx val="9"/>
            <c:invertIfNegative val="0"/>
            <c:bubble3D val="0"/>
            <c:spPr>
              <a:solidFill>
                <a:srgbClr val="A31F34"/>
              </a:solidFill>
              <a:ln w="0">
                <a:noFill/>
              </a:ln>
            </c:spPr>
            <c:extLst>
              <c:ext xmlns:c16="http://schemas.microsoft.com/office/drawing/2014/chart" uri="{C3380CC4-5D6E-409C-BE32-E72D297353CC}">
                <c16:uniqueId val="{00000011-460B-48C1-9FDA-CA83837502A9}"/>
              </c:ext>
            </c:extLst>
          </c:dPt>
          <c:dLbls>
            <c:dLbl>
              <c:idx val="0"/>
              <c:delete val="1"/>
              <c:extLst>
                <c:ext xmlns:c15="http://schemas.microsoft.com/office/drawing/2012/chart" uri="{CE6537A1-D6FC-4f65-9D91-7224C49458BB}"/>
                <c:ext xmlns:c16="http://schemas.microsoft.com/office/drawing/2014/chart" uri="{C3380CC4-5D6E-409C-BE32-E72D297353CC}">
                  <c16:uniqueId val="{00000012-460B-48C1-9FDA-CA83837502A9}"/>
                </c:ext>
              </c:extLst>
            </c:dLbl>
            <c:dLbl>
              <c:idx val="1"/>
              <c:layout>
                <c:manualLayout>
                  <c:x val="0"/>
                  <c:y val="-0.06"/>
                </c:manualLayout>
              </c:layout>
              <c:tx>
                <c:rich>
                  <a:bodyPr/>
                  <a:lstStyle/>
                  <a:p>
                    <a:pPr>
                      <a:defRPr sz="1000" b="1">
                        <a:solidFill>
                          <a:srgbClr val="A31F34"/>
                        </a:solidFill>
                      </a:defRPr>
                    </a:pPr>
                    <a:fld id="{F2F26101-C73B-4D4F-B097-4CA974C5A9DC}"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60B-48C1-9FDA-CA83837502A9}"/>
                </c:ext>
              </c:extLst>
            </c:dLbl>
            <c:dLbl>
              <c:idx val="2"/>
              <c:layout>
                <c:manualLayout>
                  <c:x val="0"/>
                  <c:y val="-0.06"/>
                </c:manualLayout>
              </c:layout>
              <c:tx>
                <c:rich>
                  <a:bodyPr/>
                  <a:lstStyle/>
                  <a:p>
                    <a:pPr>
                      <a:defRPr sz="1000" b="1">
                        <a:solidFill>
                          <a:srgbClr val="A31F34"/>
                        </a:solidFill>
                      </a:defRPr>
                    </a:pPr>
                    <a:fld id="{252405E1-9B7B-477F-A1BC-5265646E4D1A}"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60B-48C1-9FDA-CA83837502A9}"/>
                </c:ext>
              </c:extLst>
            </c:dLbl>
            <c:dLbl>
              <c:idx val="3"/>
              <c:layout>
                <c:manualLayout>
                  <c:x val="0"/>
                  <c:y val="-0.06"/>
                </c:manualLayout>
              </c:layout>
              <c:tx>
                <c:rich>
                  <a:bodyPr/>
                  <a:lstStyle/>
                  <a:p>
                    <a:pPr>
                      <a:defRPr sz="1000" b="1">
                        <a:solidFill>
                          <a:srgbClr val="A31F34"/>
                        </a:solidFill>
                      </a:defRPr>
                    </a:pPr>
                    <a:fld id="{7B9C3BA2-7973-4D59-86B4-D68DC42EB454}"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60B-48C1-9FDA-CA83837502A9}"/>
                </c:ext>
              </c:extLst>
            </c:dLbl>
            <c:dLbl>
              <c:idx val="4"/>
              <c:layout>
                <c:manualLayout>
                  <c:x val="0"/>
                  <c:y val="-0.06"/>
                </c:manualLayout>
              </c:layout>
              <c:tx>
                <c:rich>
                  <a:bodyPr/>
                  <a:lstStyle/>
                  <a:p>
                    <a:pPr>
                      <a:defRPr sz="1000" b="1">
                        <a:solidFill>
                          <a:srgbClr val="A31F34"/>
                        </a:solidFill>
                      </a:defRPr>
                    </a:pPr>
                    <a:fld id="{8633A062-2167-4846-A713-292ECD5A58D0}"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60B-48C1-9FDA-CA83837502A9}"/>
                </c:ext>
              </c:extLst>
            </c:dLbl>
            <c:dLbl>
              <c:idx val="5"/>
              <c:layout>
                <c:manualLayout>
                  <c:x val="0"/>
                  <c:y val="-0.06"/>
                </c:manualLayout>
              </c:layout>
              <c:tx>
                <c:rich>
                  <a:bodyPr/>
                  <a:lstStyle/>
                  <a:p>
                    <a:pPr>
                      <a:defRPr sz="1000" b="1">
                        <a:solidFill>
                          <a:srgbClr val="A31F34"/>
                        </a:solidFill>
                      </a:defRPr>
                    </a:pPr>
                    <a:fld id="{029922D6-139C-4C3B-813D-E347CED7A3F1}"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60B-48C1-9FDA-CA83837502A9}"/>
                </c:ext>
              </c:extLst>
            </c:dLbl>
            <c:dLbl>
              <c:idx val="6"/>
              <c:layout>
                <c:manualLayout>
                  <c:x val="0"/>
                  <c:y val="-0.06"/>
                </c:manualLayout>
              </c:layout>
              <c:tx>
                <c:rich>
                  <a:bodyPr/>
                  <a:lstStyle/>
                  <a:p>
                    <a:pPr>
                      <a:defRPr sz="1000" b="1">
                        <a:solidFill>
                          <a:srgbClr val="A31F34"/>
                        </a:solidFill>
                      </a:defRPr>
                    </a:pPr>
                    <a:fld id="{07F61A36-09C1-4ABA-8A7D-AB8FC3847133}"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60B-48C1-9FDA-CA83837502A9}"/>
                </c:ext>
              </c:extLst>
            </c:dLbl>
            <c:dLbl>
              <c:idx val="7"/>
              <c:layout>
                <c:manualLayout>
                  <c:x val="0"/>
                  <c:y val="-0.06"/>
                </c:manualLayout>
              </c:layout>
              <c:tx>
                <c:rich>
                  <a:bodyPr/>
                  <a:lstStyle/>
                  <a:p>
                    <a:pPr>
                      <a:defRPr sz="1000" b="1">
                        <a:solidFill>
                          <a:srgbClr val="A31F34"/>
                        </a:solidFill>
                      </a:defRPr>
                    </a:pPr>
                    <a:fld id="{95933098-ABB2-4D41-A770-1843CDF499AA}"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60B-48C1-9FDA-CA83837502A9}"/>
                </c:ext>
              </c:extLst>
            </c:dLbl>
            <c:dLbl>
              <c:idx val="8"/>
              <c:layout>
                <c:manualLayout>
                  <c:x val="0"/>
                  <c:y val="-0.06"/>
                </c:manualLayout>
              </c:layout>
              <c:tx>
                <c:rich>
                  <a:bodyPr/>
                  <a:lstStyle/>
                  <a:p>
                    <a:pPr>
                      <a:defRPr sz="1000" b="1">
                        <a:solidFill>
                          <a:srgbClr val="A31F34"/>
                        </a:solidFill>
                      </a:defRPr>
                    </a:pPr>
                    <a:fld id="{3D9C7041-F4AE-44B5-9EFA-6C1671724380}"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60B-48C1-9FDA-CA83837502A9}"/>
                </c:ext>
              </c:extLst>
            </c:dLbl>
            <c:dLbl>
              <c:idx val="9"/>
              <c:layout>
                <c:manualLayout>
                  <c:x val="0"/>
                  <c:y val="-0.06"/>
                </c:manualLayout>
              </c:layout>
              <c:tx>
                <c:rich>
                  <a:bodyPr/>
                  <a:lstStyle/>
                  <a:p>
                    <a:pPr>
                      <a:defRPr sz="1000" b="1">
                        <a:solidFill>
                          <a:srgbClr val="A31F34"/>
                        </a:solidFill>
                      </a:defRPr>
                    </a:pPr>
                    <a:fld id="{A3B8DE9E-9DB4-4D35-976E-DBEB5FE9BAA7}"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460B-48C1-9FDA-CA83837502A9}"/>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Market'!$N$4:$N$13</c:f>
              <c:numCache>
                <c:formatCode>#,##0</c:formatCode>
                <c:ptCount val="10"/>
                <c:pt idx="0">
                  <c:v>158.20599999999999</c:v>
                </c:pt>
                <c:pt idx="1">
                  <c:v>200.86500000000001</c:v>
                </c:pt>
                <c:pt idx="2">
                  <c:v>233.15499999999997</c:v>
                </c:pt>
                <c:pt idx="3">
                  <c:v>276.12400000000002</c:v>
                </c:pt>
                <c:pt idx="4">
                  <c:v>331.709</c:v>
                </c:pt>
                <c:pt idx="5">
                  <c:v>390.68900000000002</c:v>
                </c:pt>
                <c:pt idx="6">
                  <c:v>453.62599999999998</c:v>
                </c:pt>
                <c:pt idx="7">
                  <c:v>473.66400000000004</c:v>
                </c:pt>
                <c:pt idx="8">
                  <c:v>499.38700000000006</c:v>
                </c:pt>
                <c:pt idx="9">
                  <c:v>541.19900000000007</c:v>
                </c:pt>
              </c:numCache>
            </c:numRef>
          </c:val>
          <c:extLst>
            <c:ext xmlns:c15="http://schemas.microsoft.com/office/drawing/2012/chart" uri="{02D57815-91ED-43cb-92C2-25804820EDAC}">
              <c15:datalabelsRange>
                <c15:f>'STAG vs Market'!$AF$4:$AF$13</c15:f>
                <c15:dlblRangeCache>
                  <c:ptCount val="10"/>
                  <c:pt idx="1">
                    <c:v>+27%</c:v>
                  </c:pt>
                  <c:pt idx="2">
                    <c:v>+16%</c:v>
                  </c:pt>
                  <c:pt idx="3">
                    <c:v>+18%</c:v>
                  </c:pt>
                  <c:pt idx="4">
                    <c:v>+20%</c:v>
                  </c:pt>
                  <c:pt idx="5">
                    <c:v>+18%</c:v>
                  </c:pt>
                  <c:pt idx="6">
                    <c:v>+16%</c:v>
                  </c:pt>
                  <c:pt idx="7">
                    <c:v>+4%</c:v>
                  </c:pt>
                  <c:pt idx="8">
                    <c:v>+5%</c:v>
                  </c:pt>
                  <c:pt idx="9">
                    <c:v>+8%</c:v>
                  </c:pt>
                </c15:dlblRangeCache>
              </c15:datalabelsRange>
            </c:ext>
            <c:ext xmlns:c16="http://schemas.microsoft.com/office/drawing/2014/chart" uri="{C3380CC4-5D6E-409C-BE32-E72D297353CC}">
              <c16:uniqueId val="{00000013-460B-48C1-9FDA-CA83837502A9}"/>
            </c:ext>
          </c:extLst>
        </c:ser>
        <c:ser>
          <c:idx val="1"/>
          <c:order val="1"/>
          <c:tx>
            <c:v>Stabilized Market Cap less Leveraged CF ($M)</c:v>
          </c:tx>
          <c:spPr>
            <a:solidFill>
              <a:srgbClr val="D9D9D9"/>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Market'!$R$4:$R$13</c:f>
              <c:numCache>
                <c:formatCode>#,##0</c:formatCode>
                <c:ptCount val="10"/>
                <c:pt idx="0">
                  <c:v>1565.0842359500002</c:v>
                </c:pt>
                <c:pt idx="1">
                  <c:v>2238.0132558999994</c:v>
                </c:pt>
                <c:pt idx="2">
                  <c:v>2290.8052736</c:v>
                </c:pt>
                <c:pt idx="3">
                  <c:v>3885.2076886500008</c:v>
                </c:pt>
                <c:pt idx="4">
                  <c:v>4215.4813105200001</c:v>
                </c:pt>
                <c:pt idx="5">
                  <c:v>7650.1465237599996</c:v>
                </c:pt>
                <c:pt idx="6">
                  <c:v>4726.3447177600001</c:v>
                </c:pt>
                <c:pt idx="7">
                  <c:v>6012.3840262999993</c:v>
                </c:pt>
                <c:pt idx="8">
                  <c:v>4945.8075194600005</c:v>
                </c:pt>
                <c:pt idx="9">
                  <c:v>5659.52402368</c:v>
                </c:pt>
              </c:numCache>
            </c:numRef>
          </c:val>
          <c:extLst>
            <c:ext xmlns:c16="http://schemas.microsoft.com/office/drawing/2014/chart" uri="{C3380CC4-5D6E-409C-BE32-E72D297353CC}">
              <c16:uniqueId val="{00000014-460B-48C1-9FDA-CA83837502A9}"/>
            </c:ext>
          </c:extLst>
        </c:ser>
        <c:dLbls>
          <c:showLegendKey val="0"/>
          <c:showVal val="0"/>
          <c:showCatName val="0"/>
          <c:showSerName val="0"/>
          <c:showPercent val="0"/>
          <c:showBubbleSize val="0"/>
        </c:dLbls>
        <c:gapWidth val="150"/>
        <c:overlap val="100"/>
        <c:axId val="52981983"/>
        <c:axId val="83937603"/>
      </c:barChart>
      <c:lineChart>
        <c:grouping val="stacked"/>
        <c:varyColors val="0"/>
        <c:ser>
          <c:idx val="2"/>
          <c:order val="2"/>
          <c:tx>
            <c:v>Leveraged NOI Multiple (right)</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'STAG vs Market'!$K$4:$K$13</c:f>
              <c:numCache>
                <c:formatCode>0.0\x</c:formatCode>
                <c:ptCount val="10"/>
                <c:pt idx="0">
                  <c:v>10.892698354992859</c:v>
                </c:pt>
                <c:pt idx="1">
                  <c:v>12.141877658626438</c:v>
                </c:pt>
                <c:pt idx="2">
                  <c:v>10.825246182153503</c:v>
                </c:pt>
                <c:pt idx="3">
                  <c:v>15.070517914596342</c:v>
                </c:pt>
                <c:pt idx="4">
                  <c:v>13.708371827475286</c:v>
                </c:pt>
                <c:pt idx="5">
                  <c:v>20.581166922437028</c:v>
                </c:pt>
                <c:pt idx="6">
                  <c:v>11.419034001049324</c:v>
                </c:pt>
                <c:pt idx="7">
                  <c:v>13.693352305220575</c:v>
                </c:pt>
                <c:pt idx="8">
                  <c:v>10.90375704505724</c:v>
                </c:pt>
                <c:pt idx="9">
                  <c:v>11.457380785404258</c:v>
                </c:pt>
              </c:numCache>
            </c:numRef>
          </c:val>
          <c:smooth val="0"/>
          <c:extLst>
            <c:ext xmlns:c16="http://schemas.microsoft.com/office/drawing/2014/chart" uri="{C3380CC4-5D6E-409C-BE32-E72D297353CC}">
              <c16:uniqueId val="{00000015-460B-48C1-9FDA-CA83837502A9}"/>
            </c:ext>
          </c:extLst>
        </c:ser>
        <c:dLbls>
          <c:showLegendKey val="0"/>
          <c:showVal val="0"/>
          <c:showCatName val="0"/>
          <c:showSerName val="0"/>
          <c:showPercent val="0"/>
          <c:showBubbleSize val="0"/>
        </c:dLbls>
        <c:hiLowLines>
          <c:spPr>
            <a:ln w="0">
              <a:noFill/>
            </a:ln>
          </c:spPr>
        </c:hiLowLines>
        <c:marker val="1"/>
        <c:smooth val="0"/>
        <c:axId val="46910577"/>
        <c:axId val="69660053"/>
      </c:lineChart>
      <c:catAx>
        <c:axId val="52981983"/>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83937603"/>
        <c:crosses val="autoZero"/>
        <c:auto val="1"/>
        <c:lblAlgn val="ctr"/>
        <c:lblOffset val="100"/>
        <c:noMultiLvlLbl val="0"/>
      </c:catAx>
      <c:valAx>
        <c:axId val="83937603"/>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2981983"/>
        <c:crosses val="autoZero"/>
        <c:crossBetween val="between"/>
      </c:valAx>
      <c:catAx>
        <c:axId val="46910577"/>
        <c:scaling>
          <c:orientation val="minMax"/>
        </c:scaling>
        <c:delete val="1"/>
        <c:axPos val="b"/>
        <c:numFmt formatCode="General" sourceLinked="1"/>
        <c:majorTickMark val="none"/>
        <c:minorTickMark val="none"/>
        <c:tickLblPos val="nextTo"/>
        <c:crossAx val="69660053"/>
        <c:crosses val="autoZero"/>
        <c:auto val="1"/>
        <c:lblAlgn val="ctr"/>
        <c:lblOffset val="100"/>
        <c:noMultiLvlLbl val="0"/>
      </c:catAx>
      <c:valAx>
        <c:axId val="69660053"/>
        <c:scaling>
          <c:orientation val="minMax"/>
        </c:scaling>
        <c:delete val="0"/>
        <c:axPos val="r"/>
        <c:numFmt formatCode="0.0\x"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6910577"/>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STAG Implied Cap Rate vs. Private Industrial Cap Rates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STAG Implied Cap Rate (public pricing, year-end)</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Market'!$B$4:$B$13</c:f>
              <c:numCache>
                <c:formatCode>0.00%</c:formatCode>
                <c:ptCount val="10"/>
                <c:pt idx="0">
                  <c:v>6.9249061919118629E-2</c:v>
                </c:pt>
                <c:pt idx="1">
                  <c:v>6.4756802953310599E-2</c:v>
                </c:pt>
                <c:pt idx="2">
                  <c:v>7.1842411093549219E-2</c:v>
                </c:pt>
                <c:pt idx="3">
                  <c:v>5.6240709822420722E-2</c:v>
                </c:pt>
                <c:pt idx="4">
                  <c:v>6.2295980803963029E-2</c:v>
                </c:pt>
                <c:pt idx="5">
                  <c:v>4.4270268310456981E-2</c:v>
                </c:pt>
                <c:pt idx="6">
                  <c:v>6.9235741534149978E-2</c:v>
                </c:pt>
                <c:pt idx="7">
                  <c:v>6.2374658083609959E-2</c:v>
                </c:pt>
                <c:pt idx="8">
                  <c:v>7.228371266344541E-2</c:v>
                </c:pt>
                <c:pt idx="9">
                  <c:v>7.1216953153819443E-2</c:v>
                </c:pt>
              </c:numCache>
            </c:numRef>
          </c:yVal>
          <c:smooth val="0"/>
          <c:extLst>
            <c:ext xmlns:c16="http://schemas.microsoft.com/office/drawing/2014/chart" uri="{C3380CC4-5D6E-409C-BE32-E72D297353CC}">
              <c16:uniqueId val="{00000000-AC7E-4654-81C0-ECE9481BDAC1}"/>
            </c:ext>
          </c:extLst>
        </c:ser>
        <c:ser>
          <c:idx val="1"/>
          <c:order val="1"/>
          <c:tx>
            <c:v>Green Street Nominal Cap Rate, 51-Market Wtd Avg (4Q)</c:v>
          </c:tx>
          <c:spPr>
            <a:ln w="28440">
              <a:solidFill>
                <a:srgbClr val="1F3B57"/>
              </a:solidFill>
              <a:round/>
            </a:ln>
          </c:spPr>
          <c:marker>
            <c:symbol val="squar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Market'!$T$4:$T$13</c:f>
              <c:numCache>
                <c:formatCode>0.00%</c:formatCode>
                <c:ptCount val="10"/>
                <c:pt idx="0">
                  <c:v>5.8150930000000003E-2</c:v>
                </c:pt>
                <c:pt idx="1">
                  <c:v>5.5684129999999998E-2</c:v>
                </c:pt>
                <c:pt idx="2">
                  <c:v>5.391642E-2</c:v>
                </c:pt>
                <c:pt idx="3">
                  <c:v>5.0796620000000001E-2</c:v>
                </c:pt>
                <c:pt idx="4">
                  <c:v>4.8337989999999997E-2</c:v>
                </c:pt>
                <c:pt idx="5">
                  <c:v>3.7766719999999997E-2</c:v>
                </c:pt>
                <c:pt idx="6">
                  <c:v>4.6492600000000002E-2</c:v>
                </c:pt>
                <c:pt idx="7">
                  <c:v>5.1572890000000003E-2</c:v>
                </c:pt>
                <c:pt idx="8">
                  <c:v>5.2849069999999998E-2</c:v>
                </c:pt>
                <c:pt idx="9">
                  <c:v>5.4278229999999997E-2</c:v>
                </c:pt>
              </c:numCache>
            </c:numRef>
          </c:yVal>
          <c:smooth val="0"/>
          <c:extLst>
            <c:ext xmlns:c16="http://schemas.microsoft.com/office/drawing/2014/chart" uri="{C3380CC4-5D6E-409C-BE32-E72D297353CC}">
              <c16:uniqueId val="{00000001-AC7E-4654-81C0-ECE9481BDAC1}"/>
            </c:ext>
          </c:extLst>
        </c:ser>
        <c:ser>
          <c:idx val="2"/>
          <c:order val="2"/>
          <c:tx>
            <c:v>10-Yr UST Yield</c:v>
          </c:tx>
          <c:spPr>
            <a:ln w="28440">
              <a:solidFill>
                <a:srgbClr val="8A8A8A"/>
              </a:solidFill>
              <a:prstDash val="sysDot"/>
              <a:round/>
            </a:ln>
          </c:spPr>
          <c:marker>
            <c:symbol val="dash"/>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Market'!$C$4:$C$13</c:f>
              <c:numCache>
                <c:formatCode>0.00%</c:formatCode>
                <c:ptCount val="10"/>
                <c:pt idx="0">
                  <c:v>2.4500000000000001E-2</c:v>
                </c:pt>
                <c:pt idx="1">
                  <c:v>2.4E-2</c:v>
                </c:pt>
                <c:pt idx="2">
                  <c:v>2.69E-2</c:v>
                </c:pt>
                <c:pt idx="3">
                  <c:v>1.9199999999999998E-2</c:v>
                </c:pt>
                <c:pt idx="4">
                  <c:v>9.300000000000001E-3</c:v>
                </c:pt>
                <c:pt idx="5">
                  <c:v>1.52E-2</c:v>
                </c:pt>
                <c:pt idx="6">
                  <c:v>3.8800000000000001E-2</c:v>
                </c:pt>
                <c:pt idx="7">
                  <c:v>3.8800000000000001E-2</c:v>
                </c:pt>
                <c:pt idx="8">
                  <c:v>4.58E-2</c:v>
                </c:pt>
                <c:pt idx="9">
                  <c:v>4.1799999999999997E-2</c:v>
                </c:pt>
              </c:numCache>
            </c:numRef>
          </c:yVal>
          <c:smooth val="0"/>
          <c:extLst>
            <c:ext xmlns:c16="http://schemas.microsoft.com/office/drawing/2014/chart" uri="{C3380CC4-5D6E-409C-BE32-E72D297353CC}">
              <c16:uniqueId val="{00000002-AC7E-4654-81C0-ECE9481BDAC1}"/>
            </c:ext>
          </c:extLst>
        </c:ser>
        <c:dLbls>
          <c:showLegendKey val="0"/>
          <c:showVal val="0"/>
          <c:showCatName val="0"/>
          <c:showSerName val="0"/>
          <c:showPercent val="0"/>
          <c:showBubbleSize val="0"/>
        </c:dLbls>
        <c:axId val="57124649"/>
        <c:axId val="23780321"/>
      </c:scatterChart>
      <c:valAx>
        <c:axId val="57124649"/>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23780321"/>
        <c:crosses val="autoZero"/>
        <c:crossBetween val="midCat"/>
        <c:majorUnit val="1"/>
      </c:valAx>
      <c:valAx>
        <c:axId val="23780321"/>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7124649"/>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Industrial Values vs. Construction Costs vs. CPI, Indexed to 2016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Industrial Property Values (Green Street CPPI)</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Market'!$U$4:$U$13</c:f>
              <c:numCache>
                <c:formatCode>0.0</c:formatCode>
                <c:ptCount val="10"/>
                <c:pt idx="0">
                  <c:v>100</c:v>
                </c:pt>
                <c:pt idx="1">
                  <c:v>109.44425857524243</c:v>
                </c:pt>
                <c:pt idx="2">
                  <c:v>121.46241901260227</c:v>
                </c:pt>
                <c:pt idx="3">
                  <c:v>137.28576583568642</c:v>
                </c:pt>
                <c:pt idx="4">
                  <c:v>147.54207586613023</c:v>
                </c:pt>
                <c:pt idx="5">
                  <c:v>208.42060661993727</c:v>
                </c:pt>
                <c:pt idx="6">
                  <c:v>173.4329975271215</c:v>
                </c:pt>
                <c:pt idx="7">
                  <c:v>175.91029434755708</c:v>
                </c:pt>
                <c:pt idx="8">
                  <c:v>176.10718373483448</c:v>
                </c:pt>
                <c:pt idx="9">
                  <c:v>181.30796990700887</c:v>
                </c:pt>
              </c:numCache>
            </c:numRef>
          </c:yVal>
          <c:smooth val="0"/>
          <c:extLst>
            <c:ext xmlns:c16="http://schemas.microsoft.com/office/drawing/2014/chart" uri="{C3380CC4-5D6E-409C-BE32-E72D297353CC}">
              <c16:uniqueId val="{00000000-35AA-43F1-9DCA-AAB80E9D6A3D}"/>
            </c:ext>
          </c:extLst>
        </c:ser>
        <c:ser>
          <c:idx val="1"/>
          <c:order val="1"/>
          <c:tx>
            <c:v>Non-Residential Construction Costs (PPI)</c:v>
          </c:tx>
          <c:spPr>
            <a:ln w="28440">
              <a:solidFill>
                <a:srgbClr val="1F3B57"/>
              </a:solidFill>
              <a:round/>
            </a:ln>
          </c:spPr>
          <c:marker>
            <c:symbol val="squar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Market'!$V$4:$V$13</c:f>
              <c:numCache>
                <c:formatCode>0.0</c:formatCode>
                <c:ptCount val="10"/>
                <c:pt idx="0">
                  <c:v>100</c:v>
                </c:pt>
                <c:pt idx="1">
                  <c:v>102.1961670162606</c:v>
                </c:pt>
                <c:pt idx="2">
                  <c:v>106.49169042112622</c:v>
                </c:pt>
                <c:pt idx="3">
                  <c:v>111.95252693666073</c:v>
                </c:pt>
                <c:pt idx="4">
                  <c:v>114.71611179834704</c:v>
                </c:pt>
                <c:pt idx="5">
                  <c:v>120.67175818856559</c:v>
                </c:pt>
                <c:pt idx="6">
                  <c:v>144.71306405636528</c:v>
                </c:pt>
                <c:pt idx="7">
                  <c:v>156.11789383101166</c:v>
                </c:pt>
                <c:pt idx="8">
                  <c:v>156.28103766650528</c:v>
                </c:pt>
                <c:pt idx="9">
                  <c:v>158.82142024776348</c:v>
                </c:pt>
              </c:numCache>
            </c:numRef>
          </c:yVal>
          <c:smooth val="0"/>
          <c:extLst>
            <c:ext xmlns:c16="http://schemas.microsoft.com/office/drawing/2014/chart" uri="{C3380CC4-5D6E-409C-BE32-E72D297353CC}">
              <c16:uniqueId val="{00000001-35AA-43F1-9DCA-AAB80E9D6A3D}"/>
            </c:ext>
          </c:extLst>
        </c:ser>
        <c:ser>
          <c:idx val="2"/>
          <c:order val="2"/>
          <c:tx>
            <c:v>CPI (All Urban Consumers)</c:v>
          </c:tx>
          <c:spPr>
            <a:ln w="28440">
              <a:solidFill>
                <a:srgbClr val="8A8A8A"/>
              </a:solidFill>
              <a:prstDash val="dash"/>
              <a:round/>
            </a:ln>
          </c:spPr>
          <c:marker>
            <c:symbol val="dash"/>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Market'!$W$4:$W$13</c:f>
              <c:numCache>
                <c:formatCode>0.0</c:formatCode>
                <c:ptCount val="10"/>
                <c:pt idx="0">
                  <c:v>100</c:v>
                </c:pt>
                <c:pt idx="1">
                  <c:v>102.13162225786962</c:v>
                </c:pt>
                <c:pt idx="2">
                  <c:v>104.62282035790922</c:v>
                </c:pt>
                <c:pt idx="3">
                  <c:v>106.51986416949646</c:v>
                </c:pt>
                <c:pt idx="4">
                  <c:v>107.8544196995896</c:v>
                </c:pt>
                <c:pt idx="5">
                  <c:v>112.90306451948919</c:v>
                </c:pt>
                <c:pt idx="6">
                  <c:v>121.92495989666881</c:v>
                </c:pt>
                <c:pt idx="7">
                  <c:v>126.95693839711673</c:v>
                </c:pt>
                <c:pt idx="8">
                  <c:v>130.70477698381282</c:v>
                </c:pt>
                <c:pt idx="9">
                  <c:v>134.14803858252952</c:v>
                </c:pt>
              </c:numCache>
            </c:numRef>
          </c:yVal>
          <c:smooth val="0"/>
          <c:extLst>
            <c:ext xmlns:c16="http://schemas.microsoft.com/office/drawing/2014/chart" uri="{C3380CC4-5D6E-409C-BE32-E72D297353CC}">
              <c16:uniqueId val="{00000002-35AA-43F1-9DCA-AAB80E9D6A3D}"/>
            </c:ext>
          </c:extLst>
        </c:ser>
        <c:dLbls>
          <c:showLegendKey val="0"/>
          <c:showVal val="0"/>
          <c:showCatName val="0"/>
          <c:showSerName val="0"/>
          <c:showPercent val="0"/>
          <c:showBubbleSize val="0"/>
        </c:dLbls>
        <c:axId val="5622714"/>
        <c:axId val="89503079"/>
      </c:scatterChart>
      <c:valAx>
        <c:axId val="5622714"/>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89503079"/>
        <c:crosses val="autoZero"/>
        <c:crossBetween val="midCat"/>
        <c:majorUnit val="1"/>
      </c:valAx>
      <c:valAx>
        <c:axId val="89503079"/>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622714"/>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Market Asking Rent and Occupancy (2016-2025)
Left axis: CoStar market asking rent, $/SF. Right axis: occupancy (100% less vacancy).</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($/SF, left)</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Market'!$AA$4:$AA$13</c:f>
              <c:numCache>
                <c:formatCode>\$0.00</c:formatCode>
                <c:ptCount val="10"/>
                <c:pt idx="0">
                  <c:v>7.2084040180553197</c:v>
                </c:pt>
                <c:pt idx="1">
                  <c:v>7.6207957627302196</c:v>
                </c:pt>
                <c:pt idx="2">
                  <c:v>8.0585030051050701</c:v>
                </c:pt>
                <c:pt idx="3">
                  <c:v>8.5157481665742498</c:v>
                </c:pt>
                <c:pt idx="4">
                  <c:v>9.0124778657559901</c:v>
                </c:pt>
                <c:pt idx="5">
                  <c:v>9.7576253176282304</c:v>
                </c:pt>
                <c:pt idx="6">
                  <c:v>10.7360950922091</c:v>
                </c:pt>
                <c:pt idx="7">
                  <c:v>11.501830778377499</c:v>
                </c:pt>
                <c:pt idx="8">
                  <c:v>11.911794844842101</c:v>
                </c:pt>
                <c:pt idx="9">
                  <c:v>12.1462063713302</c:v>
                </c:pt>
              </c:numCache>
            </c:numRef>
          </c:yVal>
          <c:smooth val="0"/>
          <c:extLst>
            <c:ext xmlns:c16="http://schemas.microsoft.com/office/drawing/2014/chart" uri="{C3380CC4-5D6E-409C-BE32-E72D297353CC}">
              <c16:uniqueId val="{00000000-CDE2-4B9E-9AF6-BBA11D4891DB}"/>
            </c:ext>
          </c:extLst>
        </c:ser>
        <c:dLbls>
          <c:showLegendKey val="0"/>
          <c:showVal val="0"/>
          <c:showCatName val="0"/>
          <c:showSerName val="0"/>
          <c:showPercent val="0"/>
          <c:showBubbleSize val="0"/>
        </c:dLbls>
        <c:axId val="58072499"/>
        <c:axId val="40479938"/>
      </c:scatterChart>
      <c:scatterChart>
        <c:scatterStyle val="lineMarker"/>
        <c:varyColors val="0"/>
        <c:ser>
          <c:idx val="1"/>
          <c:order val="1"/>
          <c:tx>
            <c:v>CoStar National Occupancy (right)</c:v>
          </c:tx>
          <c:spPr>
            <a:ln w="28440">
              <a:solidFill>
                <a:srgbClr val="8A8A8A"/>
              </a:solidFill>
              <a:prstDash val="dash"/>
              <a:round/>
            </a:ln>
          </c:spPr>
          <c:marker>
            <c:symbol val="diamond"/>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Market'!$AB$4:$AB$13</c:f>
              <c:numCache>
                <c:formatCode>0.0%</c:formatCode>
                <c:ptCount val="10"/>
                <c:pt idx="0">
                  <c:v>0.94774606694073227</c:v>
                </c:pt>
                <c:pt idx="1">
                  <c:v>0.95035022562934757</c:v>
                </c:pt>
                <c:pt idx="2">
                  <c:v>0.95323320884798135</c:v>
                </c:pt>
                <c:pt idx="3">
                  <c:v>0.94926756615409602</c:v>
                </c:pt>
                <c:pt idx="4">
                  <c:v>0.94546317580134676</c:v>
                </c:pt>
                <c:pt idx="5">
                  <c:v>0.95862050110610841</c:v>
                </c:pt>
                <c:pt idx="6">
                  <c:v>0.96099685761421394</c:v>
                </c:pt>
                <c:pt idx="7">
                  <c:v>0.94347826068344176</c:v>
                </c:pt>
                <c:pt idx="8">
                  <c:v>0.93190964730657366</c:v>
                </c:pt>
                <c:pt idx="9">
                  <c:v>0.92538748823502981</c:v>
                </c:pt>
              </c:numCache>
            </c:numRef>
          </c:yVal>
          <c:smooth val="0"/>
          <c:extLst>
            <c:ext xmlns:c16="http://schemas.microsoft.com/office/drawing/2014/chart" uri="{C3380CC4-5D6E-409C-BE32-E72D297353CC}">
              <c16:uniqueId val="{00000001-CDE2-4B9E-9AF6-BBA11D4891DB}"/>
            </c:ext>
          </c:extLst>
        </c:ser>
        <c:dLbls>
          <c:showLegendKey val="0"/>
          <c:showVal val="0"/>
          <c:showCatName val="0"/>
          <c:showSerName val="0"/>
          <c:showPercent val="0"/>
          <c:showBubbleSize val="0"/>
        </c:dLbls>
        <c:axId val="6131278"/>
        <c:axId val="94211816"/>
      </c:scatterChart>
      <c:valAx>
        <c:axId val="58072499"/>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40479938"/>
        <c:crosses val="autoZero"/>
        <c:crossBetween val="midCat"/>
        <c:majorUnit val="1"/>
      </c:valAx>
      <c:valAx>
        <c:axId val="40479938"/>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8072499"/>
        <c:crosses val="autoZero"/>
        <c:crossBetween val="midCat"/>
      </c:valAx>
      <c:valAx>
        <c:axId val="6131278"/>
        <c:scaling>
          <c:orientation val="minMax"/>
        </c:scaling>
        <c:delete val="1"/>
        <c:axPos val="b"/>
        <c:numFmt formatCode="General" sourceLinked="1"/>
        <c:majorTickMark val="none"/>
        <c:minorTickMark val="none"/>
        <c:tickLblPos val="nextTo"/>
        <c:crossAx val="94211816"/>
        <c:crosses val="autoZero"/>
        <c:crossBetween val="midCat"/>
        <c:majorUnit val="1"/>
      </c:valAx>
      <c:valAx>
        <c:axId val="94211816"/>
        <c:scaling>
          <c:orientation val="minMax"/>
        </c:scaling>
        <c:delete val="0"/>
        <c:axPos val="r"/>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131278"/>
        <c:crosses val="max"/>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(2016 = 100)</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Market'!$X$4:$X$13</c:f>
              <c:numCache>
                <c:formatCode>0.0</c:formatCode>
                <c:ptCount val="10"/>
                <c:pt idx="0">
                  <c:v>100</c:v>
                </c:pt>
                <c:pt idx="1">
                  <c:v>105.72098544479414</c:v>
                </c:pt>
                <c:pt idx="2">
                  <c:v>111.79316510174037</c:v>
                </c:pt>
                <c:pt idx="3">
                  <c:v>118.13638837729331</c:v>
                </c:pt>
                <c:pt idx="4">
                  <c:v>125.02736865444692</c:v>
                </c:pt>
                <c:pt idx="5">
                  <c:v>135.36457297881367</c:v>
                </c:pt>
                <c:pt idx="6">
                  <c:v>148.93858703421395</c:v>
                </c:pt>
                <c:pt idx="7">
                  <c:v>159.56140568103808</c:v>
                </c:pt>
                <c:pt idx="8">
                  <c:v>165.24871268322249</c:v>
                </c:pt>
                <c:pt idx="9">
                  <c:v>168.50063260753521</c:v>
                </c:pt>
              </c:numCache>
            </c:numRef>
          </c:yVal>
          <c:smooth val="0"/>
          <c:extLst>
            <c:ext xmlns:c16="http://schemas.microsoft.com/office/drawing/2014/chart" uri="{C3380CC4-5D6E-409C-BE32-E72D297353CC}">
              <c16:uniqueId val="{00000000-3979-4F09-8057-87F1BDFF2692}"/>
            </c:ext>
          </c:extLst>
        </c:ser>
        <c:ser>
          <c:idx val="1"/>
          <c:order val="1"/>
          <c:tx>
            <c:v>Green Street Market-RevPAF (2016 = 100)</c:v>
          </c:tx>
          <c:spPr>
            <a:ln w="28440">
              <a:solidFill>
                <a:srgbClr val="A31F34"/>
              </a:solidFill>
              <a:round/>
            </a:ln>
          </c:spPr>
          <c:marker>
            <c:symbol val="squar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Market'!$AC$4:$AC$13</c:f>
              <c:numCache>
                <c:formatCode>General</c:formatCode>
                <c:ptCount val="10"/>
                <c:pt idx="0">
                  <c:v>100</c:v>
                </c:pt>
                <c:pt idx="1">
                  <c:v>105.616601</c:v>
                </c:pt>
                <c:pt idx="2">
                  <c:v>111.33954847878205</c:v>
                </c:pt>
                <c:pt idx="3">
                  <c:v>117.63658377567846</c:v>
                </c:pt>
                <c:pt idx="4">
                  <c:v>121.31316933222341</c:v>
                </c:pt>
                <c:pt idx="5">
                  <c:v>143.34256968766996</c:v>
                </c:pt>
                <c:pt idx="6">
                  <c:v>180.0410526738425</c:v>
                </c:pt>
                <c:pt idx="7">
                  <c:v>188.32901748236702</c:v>
                </c:pt>
                <c:pt idx="8">
                  <c:v>179.97281001112987</c:v>
                </c:pt>
                <c:pt idx="9">
                  <c:v>173.3807317312083</c:v>
                </c:pt>
              </c:numCache>
            </c:numRef>
          </c:yVal>
          <c:smooth val="0"/>
          <c:extLst>
            <c:ext xmlns:c16="http://schemas.microsoft.com/office/drawing/2014/chart" uri="{C3380CC4-5D6E-409C-BE32-E72D297353CC}">
              <c16:uniqueId val="{00000001-3979-4F09-8057-87F1BDFF2692}"/>
            </c:ext>
          </c:extLst>
        </c:ser>
        <c:dLbls>
          <c:showLegendKey val="0"/>
          <c:showVal val="0"/>
          <c:showCatName val="0"/>
          <c:showSerName val="0"/>
          <c:showPercent val="0"/>
          <c:showBubbleSize val="0"/>
        </c:dLbls>
        <c:axId val="29212738"/>
        <c:axId val="68020701"/>
      </c:scatterChart>
      <c:scatterChart>
        <c:scatterStyle val="lineMarker"/>
        <c:varyColors val="0"/>
        <c:ser>
          <c:idx val="2"/>
          <c:order val="2"/>
          <c:tx>
            <c:v>CoStar National Vacancy (%)</c:v>
          </c:tx>
          <c:spPr>
            <a:ln w="28440">
              <a:solidFill>
                <a:srgbClr val="8A8A8A"/>
              </a:solidFill>
              <a:prstDash val="dash"/>
              <a:round/>
            </a:ln>
          </c:spPr>
          <c:marker>
            <c:symbol val="diamond"/>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'STAG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'STAG vs Market'!$G$4:$G$13</c:f>
              <c:numCache>
                <c:formatCode>0.00%</c:formatCode>
                <c:ptCount val="10"/>
                <c:pt idx="0">
                  <c:v>5.2253933059267697E-2</c:v>
                </c:pt>
                <c:pt idx="1">
                  <c:v>4.9649774370652398E-2</c:v>
                </c:pt>
                <c:pt idx="2">
                  <c:v>4.6766791152018601E-2</c:v>
                </c:pt>
                <c:pt idx="3">
                  <c:v>5.0732433845904E-2</c:v>
                </c:pt>
                <c:pt idx="4">
                  <c:v>5.45368241986533E-2</c:v>
                </c:pt>
                <c:pt idx="5">
                  <c:v>4.13794988938916E-2</c:v>
                </c:pt>
                <c:pt idx="6">
                  <c:v>3.9003142385786102E-2</c:v>
                </c:pt>
                <c:pt idx="7">
                  <c:v>5.6521739316558198E-2</c:v>
                </c:pt>
                <c:pt idx="8">
                  <c:v>6.8090352693426295E-2</c:v>
                </c:pt>
                <c:pt idx="9">
                  <c:v>7.4612511764970205E-2</c:v>
                </c:pt>
              </c:numCache>
            </c:numRef>
          </c:yVal>
          <c:smooth val="0"/>
          <c:extLst>
            <c:ext xmlns:c16="http://schemas.microsoft.com/office/drawing/2014/chart" uri="{C3380CC4-5D6E-409C-BE32-E72D297353CC}">
              <c16:uniqueId val="{00000002-3979-4F09-8057-87F1BDFF2692}"/>
            </c:ext>
          </c:extLst>
        </c:ser>
        <c:dLbls>
          <c:showLegendKey val="0"/>
          <c:showVal val="0"/>
          <c:showCatName val="0"/>
          <c:showSerName val="0"/>
          <c:showPercent val="0"/>
          <c:showBubbleSize val="0"/>
        </c:dLbls>
        <c:axId val="33150517"/>
        <c:axId val="13979476"/>
      </c:scatterChart>
      <c:valAx>
        <c:axId val="29212738"/>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68020701"/>
        <c:crosses val="autoZero"/>
        <c:crossBetween val="midCat"/>
        <c:majorUnit val="1"/>
      </c:valAx>
      <c:valAx>
        <c:axId val="68020701"/>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9212738"/>
        <c:crosses val="autoZero"/>
        <c:crossBetween val="midCat"/>
      </c:valAx>
      <c:valAx>
        <c:axId val="33150517"/>
        <c:scaling>
          <c:orientation val="minMax"/>
        </c:scaling>
        <c:delete val="1"/>
        <c:axPos val="b"/>
        <c:numFmt formatCode="General" sourceLinked="1"/>
        <c:majorTickMark val="none"/>
        <c:minorTickMark val="none"/>
        <c:tickLblPos val="nextTo"/>
        <c:crossAx val="13979476"/>
        <c:crosses val="autoZero"/>
        <c:crossBetween val="midCat"/>
        <c:majorUnit val="1"/>
      </c:valAx>
      <c:valAx>
        <c:axId val="13979476"/>
        <c:scaling>
          <c:orientation val="minMax"/>
        </c:scaling>
        <c:delete val="0"/>
        <c:axPos val="r"/>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33150517"/>
        <c:crosses val="max"/>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Supply Reduction and Forecast Revenue Recovery (2016-2030): Market-RevPAF Growth
Green Street, 51-market weighted average; dashed segment is the Green Street forecast (2026-2030).</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Market-RevPAF Growth, actual</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c:formatCode>
                <c:ptCount val="10"/>
                <c:pt idx="0">
                  <c:v>6.7850380000000002E-2</c:v>
                </c:pt>
                <c:pt idx="1">
                  <c:v>5.6166010000000002E-2</c:v>
                </c:pt>
                <c:pt idx="2">
                  <c:v>5.4186060000000001E-2</c:v>
                </c:pt>
                <c:pt idx="3">
                  <c:v>5.6557040000000003E-2</c:v>
                </c:pt>
                <c:pt idx="4">
                  <c:v>3.1253759999999998E-2</c:v>
                </c:pt>
                <c:pt idx="5">
                  <c:v>0.18159117</c:v>
                </c:pt>
                <c:pt idx="6">
                  <c:v>0.25601942999999999</c:v>
                </c:pt>
                <c:pt idx="7">
                  <c:v>4.6033749999999998E-2</c:v>
                </c:pt>
                <c:pt idx="8">
                  <c:v>-4.4370260000000002E-2</c:v>
                </c:pt>
                <c:pt idx="9">
                  <c:v>-3.6628189999999998E-2</c:v>
                </c:pt>
              </c:numCache>
            </c:numRef>
          </c:yVal>
          <c:smooth val="0"/>
          <c:extLst>
            <c:ext xmlns:c16="http://schemas.microsoft.com/office/drawing/2014/chart" uri="{C3380CC4-5D6E-409C-BE32-E72D297353CC}">
              <c16:uniqueId val="{00000000-4CE8-42DE-885E-481969A0F30A}"/>
            </c:ext>
          </c:extLst>
        </c:ser>
        <c:ser>
          <c:idx val="1"/>
          <c:order val="1"/>
          <c:tx>
            <c:v>Market-RevPAF Growth, Green Street forecast</c:v>
          </c:tx>
          <c:spPr>
            <a:ln w="28440">
              <a:solidFill>
                <a:srgbClr val="A31F34"/>
              </a:solidFill>
              <a:prstDash val="dash"/>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c:formatCode>
                <c:ptCount val="6"/>
                <c:pt idx="0">
                  <c:v>-3.6628189999999998E-2</c:v>
                </c:pt>
                <c:pt idx="1">
                  <c:v>1.774707E-2</c:v>
                </c:pt>
                <c:pt idx="2">
                  <c:v>3.4207439999999999E-2</c:v>
                </c:pt>
                <c:pt idx="3">
                  <c:v>2.864914E-2</c:v>
                </c:pt>
                <c:pt idx="4">
                  <c:v>3.008883E-2</c:v>
                </c:pt>
                <c:pt idx="5">
                  <c:v>2.965373E-2</c:v>
                </c:pt>
              </c:numCache>
            </c:numRef>
          </c:yVal>
          <c:smooth val="0"/>
          <c:extLst>
            <c:ext xmlns:c16="http://schemas.microsoft.com/office/drawing/2014/chart" uri="{C3380CC4-5D6E-409C-BE32-E72D297353CC}">
              <c16:uniqueId val="{00000001-4CE8-42DE-885E-481969A0F30A}"/>
            </c:ext>
          </c:extLst>
        </c:ser>
        <c:dLbls>
          <c:showLegendKey val="0"/>
          <c:showVal val="0"/>
          <c:showCatName val="0"/>
          <c:showSerName val="0"/>
          <c:showPercent val="0"/>
          <c:showBubbleSize val="0"/>
        </c:dLbls>
        <c:axId val="4051925"/>
        <c:axId val="21249613"/>
      </c:scatterChart>
      <c:valAx>
        <c:axId val="4051925"/>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21249613"/>
        <c:crosses val="autoZero"/>
        <c:crossBetween val="midCat"/>
        <c:majorUnit val="1"/>
      </c:valAx>
      <c:valAx>
        <c:axId val="21249613"/>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051925"/>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Supply Reduction and Forecast Revenue Recovery (2016-2030): Supply Growth (% of Stock)
Green Street, 51-market weighted average; lighter bars are the Green Street forecast (2026-2030).</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barChart>
        <c:barDir val="col"/>
        <c:grouping val="stacked"/>
        <c:varyColors val="0"/>
        <c:ser>
          <c:idx val="0"/>
          <c:order val="0"/>
          <c:tx>
            <c:v>Supply Growth, actual</c:v>
          </c:tx>
          <c:spPr>
            <a:solidFill>
              <a:srgbClr val="1F3B57"/>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'Green Street National'!$A$4:$A$18</c:f>
              <c:numCache>
                <c:formatCode>General</c:formatCod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numCache>
            </c:numRef>
          </c:cat>
          <c:val>
            <c:numRef>
              <c:f>'Green Street National'!$H$4:$H$18</c:f>
              <c:numCache>
                <c:formatCode>0.0%</c:formatCode>
                <c:ptCount val="15"/>
                <c:pt idx="0">
                  <c:v>1.6958379999999999E-2</c:v>
                </c:pt>
                <c:pt idx="1">
                  <c:v>1.8904939999999999E-2</c:v>
                </c:pt>
                <c:pt idx="2">
                  <c:v>2.0244990000000001E-2</c:v>
                </c:pt>
                <c:pt idx="3">
                  <c:v>2.0379209999999998E-2</c:v>
                </c:pt>
                <c:pt idx="4">
                  <c:v>2.0601000000000001E-2</c:v>
                </c:pt>
                <c:pt idx="5">
                  <c:v>2.1810260000000001E-2</c:v>
                </c:pt>
                <c:pt idx="6">
                  <c:v>2.528859E-2</c:v>
                </c:pt>
                <c:pt idx="7">
                  <c:v>3.5278770000000001E-2</c:v>
                </c:pt>
                <c:pt idx="8">
                  <c:v>2.413096E-2</c:v>
                </c:pt>
                <c:pt idx="9">
                  <c:v>1.702586E-2</c:v>
                </c:pt>
                <c:pt idx="10">
                  <c:v>0</c:v>
                </c:pt>
                <c:pt idx="11">
                  <c:v>0</c:v>
                </c:pt>
                <c:pt idx="12">
                  <c:v>0</c:v>
                </c:pt>
                <c:pt idx="13">
                  <c:v>0</c:v>
                </c:pt>
                <c:pt idx="14">
                  <c:v>0</c:v>
                </c:pt>
              </c:numCache>
            </c:numRef>
          </c:val>
          <c:extLst>
            <c:ext xmlns:c16="http://schemas.microsoft.com/office/drawing/2014/chart" uri="{C3380CC4-5D6E-409C-BE32-E72D297353CC}">
              <c16:uniqueId val="{00000000-3AB2-4D22-9161-FBD392F89E19}"/>
            </c:ext>
          </c:extLst>
        </c:ser>
        <c:ser>
          <c:idx val="1"/>
          <c:order val="1"/>
          <c:tx>
            <c:v>Supply Growth, Green Street forecast</c:v>
          </c:tx>
          <c:spPr>
            <a:solidFill>
              <a:srgbClr val="A9BCD1"/>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'Green Street National'!$A$4:$A$18</c:f>
              <c:numCache>
                <c:formatCode>General</c:formatCod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numCache>
            </c:numRef>
          </c:cat>
          <c:val>
            <c:numRef>
              <c:f>'Green Street National'!$I$4:$I$18</c:f>
              <c:numCache>
                <c:formatCode>0.0%</c:formatCode>
                <c:ptCount val="15"/>
                <c:pt idx="0">
                  <c:v>0</c:v>
                </c:pt>
                <c:pt idx="1">
                  <c:v>0</c:v>
                </c:pt>
                <c:pt idx="2">
                  <c:v>0</c:v>
                </c:pt>
                <c:pt idx="3">
                  <c:v>0</c:v>
                </c:pt>
                <c:pt idx="4">
                  <c:v>0</c:v>
                </c:pt>
                <c:pt idx="5">
                  <c:v>0</c:v>
                </c:pt>
                <c:pt idx="6">
                  <c:v>0</c:v>
                </c:pt>
                <c:pt idx="7">
                  <c:v>0</c:v>
                </c:pt>
                <c:pt idx="8">
                  <c:v>0</c:v>
                </c:pt>
                <c:pt idx="9">
                  <c:v>0</c:v>
                </c:pt>
                <c:pt idx="10">
                  <c:v>1.187E-2</c:v>
                </c:pt>
                <c:pt idx="11">
                  <c:v>1.4069679999999999E-2</c:v>
                </c:pt>
                <c:pt idx="12">
                  <c:v>2.0159659999999999E-2</c:v>
                </c:pt>
                <c:pt idx="13">
                  <c:v>1.7079710000000001E-2</c:v>
                </c:pt>
                <c:pt idx="14">
                  <c:v>1.6869749999999999E-2</c:v>
                </c:pt>
              </c:numCache>
            </c:numRef>
          </c:val>
          <c:extLst>
            <c:ext xmlns:c16="http://schemas.microsoft.com/office/drawing/2014/chart" uri="{C3380CC4-5D6E-409C-BE32-E72D297353CC}">
              <c16:uniqueId val="{00000001-3AB2-4D22-9161-FBD392F89E19}"/>
            </c:ext>
          </c:extLst>
        </c:ser>
        <c:dLbls>
          <c:showLegendKey val="0"/>
          <c:showVal val="0"/>
          <c:showCatName val="0"/>
          <c:showSerName val="0"/>
          <c:showPercent val="0"/>
          <c:showBubbleSize val="0"/>
        </c:dLbls>
        <c:gapWidth val="150"/>
        <c:overlap val="100"/>
        <c:axId val="9178277"/>
        <c:axId val="15671294"/>
      </c:barChart>
      <c:catAx>
        <c:axId val="9178277"/>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15671294"/>
        <c:crosses val="autoZero"/>
        <c:auto val="1"/>
        <c:lblAlgn val="ctr"/>
        <c:lblOffset val="100"/>
        <c:noMultiLvlLbl val="0"/>
      </c:catAx>
      <c:valAx>
        <c:axId val="15671294"/>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9178277"/>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800" b="1" strike="noStrike" spc="-1">
                <a:solidFill>
                  <a:srgbClr val="000000"/>
                </a:solidFill>
                <a:latin typeface="Calibri"/>
              </a:defRPr>
            </a:pPr>
            <a:r>
              <a:rPr lang="en-US" sz="1800" b="1" strike="noStrike" spc="-1">
                <a:solidFill>
                  <a:srgbClr val="000000"/>
                </a:solidFill>
                <a:latin typeface="Calibri"/>
              </a:rPr>
              <a:t>EGP Stabilized Implied Cap Rate vs. 10-Yr UST, with Spread (2016-2025)</a:t>
            </a:r>
          </a:p>
        </c:rich>
      </c:tx>
      <c:overlay val="0"/>
      <c:spPr>
        <a:noFill/>
        <a:ln w="0">
          <a:noFill/>
        </a:ln>
      </c:spPr>
    </c:title>
    <c:autoTitleDeleted val="0"/>
    <c:plotArea>
      <c:layout>
        <c:manualLayout>
          <c:layoutTarget val="inner"/>
          <c:xMode val="edge"/>
          <c:yMode val="edge"/>
          <c:x val="0.100036425047187"/>
          <c:y val="0.14011856186003499"/>
          <c:w val="0.79952978575449496"/>
          <c:h val="0.67972900146277604"/>
        </c:manualLayout>
      </c:layout>
      <c:barChart>
        <c:barDir val="col"/>
        <c:grouping val="clustered"/>
        <c:varyColors val="0"/>
        <c:ser>
          <c:idx val="0"/>
          <c:order val="0"/>
          <c:tx>
            <c:strRef>
              <c:f>'EGP vs Market'!$D$3</c:f>
              <c:strCache>
                <c:ptCount val="1"/>
                <c:pt idx="0">
                  <c:v>Spread: Cap Rate less UST (pp)</c:v>
                </c:pt>
              </c:strCache>
            </c:strRef>
          </c:tx>
          <c:spPr>
            <a:solidFill>
              <a:srgbClr val="D9A0A8"/>
            </a:solidFill>
            <a:ln w="0">
              <a:solidFill>
                <a:srgbClr val="B87B85"/>
              </a:solid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Market'!$D$4:$D$13</c:f>
              <c:numCache>
                <c:formatCode>0.00%</c:formatCode>
                <c:ptCount val="10"/>
                <c:pt idx="0">
                  <c:v>3.5875817400536351E-2</c:v>
                </c:pt>
                <c:pt idx="1">
                  <c:v>3.0049370482855935E-2</c:v>
                </c:pt>
                <c:pt idx="2">
                  <c:v>2.9056776321807108E-2</c:v>
                </c:pt>
                <c:pt idx="3">
                  <c:v>2.4334308773900883E-2</c:v>
                </c:pt>
                <c:pt idx="4">
                  <c:v>3.4590077645450738E-2</c:v>
                </c:pt>
                <c:pt idx="5">
                  <c:v>1.4908103050230487E-2</c:v>
                </c:pt>
                <c:pt idx="6">
                  <c:v>1.1455340753243122E-2</c:v>
                </c:pt>
                <c:pt idx="7">
                  <c:v>7.2486141585064723E-3</c:v>
                </c:pt>
                <c:pt idx="8">
                  <c:v>1.0505207782372121E-2</c:v>
                </c:pt>
                <c:pt idx="9">
                  <c:v>1.3998262475658663E-2</c:v>
                </c:pt>
              </c:numCache>
            </c:numRef>
          </c:val>
          <c:extLst>
            <c:ext xmlns:c16="http://schemas.microsoft.com/office/drawing/2014/chart" uri="{C3380CC4-5D6E-409C-BE32-E72D297353CC}">
              <c16:uniqueId val="{00000000-E0CF-41AE-8181-0142A5FE23AC}"/>
            </c:ext>
          </c:extLst>
        </c:ser>
        <c:dLbls>
          <c:showLegendKey val="0"/>
          <c:showVal val="0"/>
          <c:showCatName val="0"/>
          <c:showSerName val="0"/>
          <c:showPercent val="0"/>
          <c:showBubbleSize val="0"/>
        </c:dLbls>
        <c:gapWidth val="80"/>
        <c:axId val="16080790"/>
        <c:axId val="52186572"/>
      </c:barChart>
      <c:lineChart>
        <c:grouping val="standard"/>
        <c:varyColors val="0"/>
        <c:ser>
          <c:idx val="1"/>
          <c:order val="1"/>
          <c:tx>
            <c:strRef>
              <c:f>'EGP vs Market'!$B$3</c:f>
              <c:strCache>
                <c:ptCount val="1"/>
                <c:pt idx="0">
                  <c:v>EGP Stabilized Implied Cap Rate (%)</c:v>
                </c:pt>
              </c:strCache>
            </c:strRef>
          </c:tx>
          <c:spPr>
            <a:ln w="28080">
              <a:solidFill>
                <a:srgbClr val="A31F34"/>
              </a:solidFill>
              <a:round/>
            </a:ln>
          </c:spPr>
          <c:marker>
            <c:symbol val="circle"/>
            <c:size val="6"/>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Market'!$B$4:$B$13</c:f>
              <c:numCache>
                <c:formatCode>0.00%</c:formatCode>
                <c:ptCount val="10"/>
                <c:pt idx="0">
                  <c:v>6.0375817400536352E-2</c:v>
                </c:pt>
                <c:pt idx="1">
                  <c:v>5.4049370482855935E-2</c:v>
                </c:pt>
                <c:pt idx="2">
                  <c:v>5.5956776321807108E-2</c:v>
                </c:pt>
                <c:pt idx="3">
                  <c:v>4.3534308773900882E-2</c:v>
                </c:pt>
                <c:pt idx="4">
                  <c:v>4.3890077645450741E-2</c:v>
                </c:pt>
                <c:pt idx="5">
                  <c:v>3.0108103050230487E-2</c:v>
                </c:pt>
                <c:pt idx="6">
                  <c:v>5.0255340753243123E-2</c:v>
                </c:pt>
                <c:pt idx="7">
                  <c:v>4.6048614158506473E-2</c:v>
                </c:pt>
                <c:pt idx="8">
                  <c:v>5.6305207782372121E-2</c:v>
                </c:pt>
                <c:pt idx="9">
                  <c:v>5.579826247565866E-2</c:v>
                </c:pt>
              </c:numCache>
            </c:numRef>
          </c:val>
          <c:smooth val="0"/>
          <c:extLst>
            <c:ext xmlns:c16="http://schemas.microsoft.com/office/drawing/2014/chart" uri="{C3380CC4-5D6E-409C-BE32-E72D297353CC}">
              <c16:uniqueId val="{00000001-E0CF-41AE-8181-0142A5FE23AC}"/>
            </c:ext>
          </c:extLst>
        </c:ser>
        <c:ser>
          <c:idx val="2"/>
          <c:order val="2"/>
          <c:tx>
            <c:strRef>
              <c:f>'EGP vs Market'!$C$3</c:f>
              <c:strCache>
                <c:ptCount val="1"/>
                <c:pt idx="0">
                  <c:v>10-Yr UST Yield (%)</c:v>
                </c:pt>
              </c:strCache>
            </c:strRef>
          </c:tx>
          <c:spPr>
            <a:ln w="28080">
              <a:solidFill>
                <a:srgbClr val="3A3A3A"/>
              </a:solidFill>
              <a:round/>
            </a:ln>
          </c:spPr>
          <c:marker>
            <c:symbol val="circle"/>
            <c:size val="6"/>
            <c:spPr>
              <a:solidFill>
                <a:srgbClr val="3A3A3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Market'!$C$4:$C$13</c:f>
              <c:numCache>
                <c:formatCode>0.00%</c:formatCode>
                <c:ptCount val="10"/>
                <c:pt idx="0">
                  <c:v>2.4500000000000001E-2</c:v>
                </c:pt>
                <c:pt idx="1">
                  <c:v>2.4E-2</c:v>
                </c:pt>
                <c:pt idx="2">
                  <c:v>2.69E-2</c:v>
                </c:pt>
                <c:pt idx="3">
                  <c:v>1.9199999999999998E-2</c:v>
                </c:pt>
                <c:pt idx="4">
                  <c:v>9.300000000000001E-3</c:v>
                </c:pt>
                <c:pt idx="5">
                  <c:v>1.52E-2</c:v>
                </c:pt>
                <c:pt idx="6">
                  <c:v>3.8800000000000001E-2</c:v>
                </c:pt>
                <c:pt idx="7">
                  <c:v>3.8800000000000001E-2</c:v>
                </c:pt>
                <c:pt idx="8">
                  <c:v>4.58E-2</c:v>
                </c:pt>
                <c:pt idx="9">
                  <c:v>4.1799999999999997E-2</c:v>
                </c:pt>
              </c:numCache>
            </c:numRef>
          </c:val>
          <c:smooth val="0"/>
          <c:extLst>
            <c:ext xmlns:c16="http://schemas.microsoft.com/office/drawing/2014/chart" uri="{C3380CC4-5D6E-409C-BE32-E72D297353CC}">
              <c16:uniqueId val="{00000002-E0CF-41AE-8181-0142A5FE23AC}"/>
            </c:ext>
          </c:extLst>
        </c:ser>
        <c:dLbls>
          <c:showLegendKey val="0"/>
          <c:showVal val="0"/>
          <c:showCatName val="0"/>
          <c:showSerName val="0"/>
          <c:showPercent val="0"/>
          <c:showBubbleSize val="0"/>
        </c:dLbls>
        <c:hiLowLines>
          <c:spPr>
            <a:ln w="0">
              <a:noFill/>
            </a:ln>
          </c:spPr>
        </c:hiLowLines>
        <c:marker val="1"/>
        <c:smooth val="0"/>
        <c:axId val="56758531"/>
        <c:axId val="5152489"/>
      </c:lineChart>
      <c:catAx>
        <c:axId val="16080790"/>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52186572"/>
        <c:crosses val="autoZero"/>
        <c:auto val="1"/>
        <c:lblAlgn val="ctr"/>
        <c:lblOffset val="100"/>
        <c:noMultiLvlLbl val="0"/>
      </c:catAx>
      <c:valAx>
        <c:axId val="52186572"/>
        <c:scaling>
          <c:orientation val="minMax"/>
        </c:scaling>
        <c:delete val="0"/>
        <c:axPos val="l"/>
        <c:majorGridlines>
          <c:spPr>
            <a:ln w="0">
              <a:solidFill>
                <a:srgbClr val="B3B3B3"/>
              </a:solidFill>
            </a:ln>
          </c:spPr>
        </c:majorGridlines>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6080790"/>
        <c:crosses val="autoZero"/>
        <c:crossBetween val="between"/>
      </c:valAx>
      <c:catAx>
        <c:axId val="56758531"/>
        <c:scaling>
          <c:orientation val="minMax"/>
        </c:scaling>
        <c:delete val="1"/>
        <c:axPos val="b"/>
        <c:numFmt formatCode="General" sourceLinked="1"/>
        <c:majorTickMark val="none"/>
        <c:minorTickMark val="none"/>
        <c:tickLblPos val="nextTo"/>
        <c:crossAx val="5152489"/>
        <c:crosses val="autoZero"/>
        <c:auto val="1"/>
        <c:lblAlgn val="ctr"/>
        <c:lblOffset val="100"/>
        <c:noMultiLvlLbl val="0"/>
      </c:catAx>
      <c:valAx>
        <c:axId val="5152489"/>
        <c:scaling>
          <c:orientation val="minMax"/>
        </c:scaling>
        <c:delete val="0"/>
        <c:axPos val="r"/>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6758531"/>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Operating Fundamentals: CoStar Market Asking Rent ($/SF)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($/SF)</c:v>
          </c:tx>
          <c:spPr>
            <a:ln w="28440">
              <a:solidFill>
                <a:srgbClr val="1F3B57"/>
              </a:solidFill>
              <a:round/>
            </a:ln>
          </c:spPr>
          <c:marker>
            <c:symbol val="circle"/>
            <c:size val="5"/>
            <c:spPr>
              <a:solidFill>
                <a:srgbClr val="1F3B57"/>
              </a:solidFill>
            </c:spPr>
          </c:marker>
          <c:dPt>
            <c:idx val="0"/>
            <c:bubble3D val="0"/>
            <c:extLst>
              <c:ext xmlns:c16="http://schemas.microsoft.com/office/drawing/2014/chart" uri="{C3380CC4-5D6E-409C-BE32-E72D297353CC}">
                <c16:uniqueId val="{00000000-B767-409F-BCFB-61996F9A2461}"/>
              </c:ext>
            </c:extLst>
          </c:dPt>
          <c:dPt>
            <c:idx val="1"/>
            <c:bubble3D val="0"/>
            <c:extLst>
              <c:ext xmlns:c16="http://schemas.microsoft.com/office/drawing/2014/chart" uri="{C3380CC4-5D6E-409C-BE32-E72D297353CC}">
                <c16:uniqueId val="{00000001-B767-409F-BCFB-61996F9A2461}"/>
              </c:ext>
            </c:extLst>
          </c:dPt>
          <c:dPt>
            <c:idx val="2"/>
            <c:bubble3D val="0"/>
            <c:extLst>
              <c:ext xmlns:c16="http://schemas.microsoft.com/office/drawing/2014/chart" uri="{C3380CC4-5D6E-409C-BE32-E72D297353CC}">
                <c16:uniqueId val="{00000002-B767-409F-BCFB-61996F9A2461}"/>
              </c:ext>
            </c:extLst>
          </c:dPt>
          <c:dPt>
            <c:idx val="3"/>
            <c:bubble3D val="0"/>
            <c:extLst>
              <c:ext xmlns:c16="http://schemas.microsoft.com/office/drawing/2014/chart" uri="{C3380CC4-5D6E-409C-BE32-E72D297353CC}">
                <c16:uniqueId val="{00000003-B767-409F-BCFB-61996F9A2461}"/>
              </c:ext>
            </c:extLst>
          </c:dPt>
          <c:dPt>
            <c:idx val="4"/>
            <c:bubble3D val="0"/>
            <c:extLst>
              <c:ext xmlns:c16="http://schemas.microsoft.com/office/drawing/2014/chart" uri="{C3380CC4-5D6E-409C-BE32-E72D297353CC}">
                <c16:uniqueId val="{00000004-B767-409F-BCFB-61996F9A2461}"/>
              </c:ext>
            </c:extLst>
          </c:dPt>
          <c:dPt>
            <c:idx val="5"/>
            <c:bubble3D val="0"/>
            <c:extLst>
              <c:ext xmlns:c16="http://schemas.microsoft.com/office/drawing/2014/chart" uri="{C3380CC4-5D6E-409C-BE32-E72D297353CC}">
                <c16:uniqueId val="{00000005-B767-409F-BCFB-61996F9A2461}"/>
              </c:ext>
            </c:extLst>
          </c:dPt>
          <c:dPt>
            <c:idx val="6"/>
            <c:bubble3D val="0"/>
            <c:extLst>
              <c:ext xmlns:c16="http://schemas.microsoft.com/office/drawing/2014/chart" uri="{C3380CC4-5D6E-409C-BE32-E72D297353CC}">
                <c16:uniqueId val="{00000006-B767-409F-BCFB-61996F9A2461}"/>
              </c:ext>
            </c:extLst>
          </c:dPt>
          <c:dPt>
            <c:idx val="7"/>
            <c:bubble3D val="0"/>
            <c:extLst>
              <c:ext xmlns:c16="http://schemas.microsoft.com/office/drawing/2014/chart" uri="{C3380CC4-5D6E-409C-BE32-E72D297353CC}">
                <c16:uniqueId val="{00000007-B767-409F-BCFB-61996F9A2461}"/>
              </c:ext>
            </c:extLst>
          </c:dPt>
          <c:dPt>
            <c:idx val="8"/>
            <c:bubble3D val="0"/>
            <c:extLst>
              <c:ext xmlns:c16="http://schemas.microsoft.com/office/drawing/2014/chart" uri="{C3380CC4-5D6E-409C-BE32-E72D297353CC}">
                <c16:uniqueId val="{00000008-B767-409F-BCFB-61996F9A2461}"/>
              </c:ext>
            </c:extLst>
          </c:dPt>
          <c:dPt>
            <c:idx val="9"/>
            <c:bubble3D val="0"/>
            <c:extLst>
              <c:ext xmlns:c16="http://schemas.microsoft.com/office/drawing/2014/chart" uri="{C3380CC4-5D6E-409C-BE32-E72D297353CC}">
                <c16:uniqueId val="{00000009-B767-409F-BCFB-61996F9A2461}"/>
              </c:ext>
            </c:extLst>
          </c:dPt>
          <c:dLbls>
            <c:dLbl>
              <c:idx val="0"/>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0-B767-409F-BCFB-61996F9A2461}"/>
                </c:ext>
              </c:extLst>
            </c:dLbl>
            <c:dLbl>
              <c:idx val="1"/>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1-B767-409F-BCFB-61996F9A2461}"/>
                </c:ext>
              </c:extLst>
            </c:dLbl>
            <c:dLbl>
              <c:idx val="2"/>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2-B767-409F-BCFB-61996F9A2461}"/>
                </c:ext>
              </c:extLst>
            </c:dLbl>
            <c:dLbl>
              <c:idx val="3"/>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3-B767-409F-BCFB-61996F9A2461}"/>
                </c:ext>
              </c:extLst>
            </c:dLbl>
            <c:dLbl>
              <c:idx val="4"/>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4-B767-409F-BCFB-61996F9A2461}"/>
                </c:ext>
              </c:extLst>
            </c:dLbl>
            <c:dLbl>
              <c:idx val="5"/>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5-B767-409F-BCFB-61996F9A2461}"/>
                </c:ext>
              </c:extLst>
            </c:dLbl>
            <c:dLbl>
              <c:idx val="6"/>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6-B767-409F-BCFB-61996F9A2461}"/>
                </c:ext>
              </c:extLst>
            </c:dLbl>
            <c:dLbl>
              <c:idx val="7"/>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7-B767-409F-BCFB-61996F9A2461}"/>
                </c:ext>
              </c:extLst>
            </c:dLbl>
            <c:dLbl>
              <c:idx val="8"/>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8-B767-409F-BCFB-61996F9A2461}"/>
                </c:ext>
              </c:extLst>
            </c:dLbl>
            <c:dLbl>
              <c:idx val="9"/>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9-B767-409F-BCFB-61996F9A2461}"/>
                </c:ext>
              </c:extLst>
            </c:dLbl>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Market'!$AA$4:$AA$13</c:f>
              <c:numCache>
                <c:formatCode>\$0.00</c:formatCode>
                <c:ptCount val="10"/>
                <c:pt idx="0">
                  <c:v>7.2084040180553197</c:v>
                </c:pt>
                <c:pt idx="1">
                  <c:v>7.6207957627302196</c:v>
                </c:pt>
                <c:pt idx="2">
                  <c:v>8.0585030051050701</c:v>
                </c:pt>
                <c:pt idx="3">
                  <c:v>8.5157481665742498</c:v>
                </c:pt>
                <c:pt idx="4">
                  <c:v>9.0124778657559901</c:v>
                </c:pt>
                <c:pt idx="5">
                  <c:v>9.7576253176282304</c:v>
                </c:pt>
                <c:pt idx="6">
                  <c:v>10.7360950922091</c:v>
                </c:pt>
                <c:pt idx="7">
                  <c:v>11.501830778377499</c:v>
                </c:pt>
                <c:pt idx="8">
                  <c:v>11.911794844842101</c:v>
                </c:pt>
                <c:pt idx="9">
                  <c:v>12.1462063713302</c:v>
                </c:pt>
              </c:numCache>
            </c:numRef>
          </c:yVal>
          <c:smooth val="0"/>
          <c:extLst>
            <c:ext xmlns:c16="http://schemas.microsoft.com/office/drawing/2014/chart" uri="{C3380CC4-5D6E-409C-BE32-E72D297353CC}">
              <c16:uniqueId val="{0000000A-B767-409F-BCFB-61996F9A2461}"/>
            </c:ext>
          </c:extLst>
        </c:ser>
        <c:dLbls>
          <c:showLegendKey val="0"/>
          <c:showVal val="0"/>
          <c:showCatName val="0"/>
          <c:showSerName val="0"/>
          <c:showPercent val="0"/>
          <c:showBubbleSize val="0"/>
        </c:dLbls>
        <c:axId val="58764887"/>
        <c:axId val="25181773"/>
      </c:scatterChart>
      <c:valAx>
        <c:axId val="58764887"/>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25181773"/>
        <c:crosses val="autoZero"/>
        <c:crossBetween val="midCat"/>
        <c:majorUnit val="1"/>
      </c:valAx>
      <c:valAx>
        <c:axId val="25181773"/>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8764887"/>
        <c:crosses val="autoZero"/>
        <c:crossBetween val="midCat"/>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Inflation and the Cost of Debt: CPI vs. Prime Rate (2016-2025)
2022: CPI averaged 8.0% while the prime rate averaged 4.9%; the prime rate followed to 8.3% by 2023.</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Bank Prime Loan Rate</c:v>
          </c:tx>
          <c:spPr>
            <a:ln w="28440">
              <a:solidFill>
                <a:srgbClr val="8A8A8A"/>
              </a:solidFill>
              <a:round/>
            </a:ln>
          </c:spPr>
          <c:marker>
            <c:symbol val="triangle"/>
            <c:size val="5"/>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Market'!$P$4:$P$13</c:f>
              <c:numCache>
                <c:formatCode>0.00%</c:formatCode>
                <c:ptCount val="10"/>
                <c:pt idx="0">
                  <c:v>3.5099999999999999E-2</c:v>
                </c:pt>
                <c:pt idx="1">
                  <c:v>4.0999999999999995E-2</c:v>
                </c:pt>
                <c:pt idx="2">
                  <c:v>4.9000000000000002E-2</c:v>
                </c:pt>
                <c:pt idx="3">
                  <c:v>5.28E-2</c:v>
                </c:pt>
                <c:pt idx="4">
                  <c:v>3.5400000000000001E-2</c:v>
                </c:pt>
                <c:pt idx="5">
                  <c:v>3.2500000000000001E-2</c:v>
                </c:pt>
                <c:pt idx="6">
                  <c:v>4.8499999999999995E-2</c:v>
                </c:pt>
                <c:pt idx="7">
                  <c:v>8.1900000000000001E-2</c:v>
                </c:pt>
                <c:pt idx="8">
                  <c:v>8.3100000000000007E-2</c:v>
                </c:pt>
                <c:pt idx="9">
                  <c:v>7.3700000000000002E-2</c:v>
                </c:pt>
              </c:numCache>
            </c:numRef>
          </c:yVal>
          <c:smooth val="0"/>
          <c:extLst>
            <c:ext xmlns:c16="http://schemas.microsoft.com/office/drawing/2014/chart" uri="{C3380CC4-5D6E-409C-BE32-E72D297353CC}">
              <c16:uniqueId val="{00000000-A640-4192-8CFA-A79328479675}"/>
            </c:ext>
          </c:extLst>
        </c:ser>
        <c:ser>
          <c:idx val="1"/>
          <c:order val="1"/>
          <c:tx>
            <c:v>CPI Inflation (annual avg, YoY)</c:v>
          </c:tx>
          <c:spPr>
            <a:ln w="28440">
              <a:solidFill>
                <a:srgbClr val="C08A00"/>
              </a:solidFill>
              <a:round/>
            </a:ln>
          </c:spPr>
          <c:marker>
            <c:symbol val="diamond"/>
            <c:size val="5"/>
            <c:spPr>
              <a:solidFill>
                <a:srgbClr val="C08A00"/>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Market'!$S$4:$S$13</c:f>
              <c:numCache>
                <c:formatCode>0.0%</c:formatCode>
                <c:ptCount val="10"/>
                <c:pt idx="0">
                  <c:v>1.2670779149543066E-2</c:v>
                </c:pt>
                <c:pt idx="1">
                  <c:v>2.1316222578696253E-2</c:v>
                </c:pt>
                <c:pt idx="2">
                  <c:v>2.4392034954165531E-2</c:v>
                </c:pt>
                <c:pt idx="3">
                  <c:v>1.8132218239745201E-2</c:v>
                </c:pt>
                <c:pt idx="4">
                  <c:v>1.2528701012700871E-2</c:v>
                </c:pt>
                <c:pt idx="5">
                  <c:v>4.6809809314831474E-2</c:v>
                </c:pt>
                <c:pt idx="6">
                  <c:v>7.9908330350256129E-2</c:v>
                </c:pt>
                <c:pt idx="7">
                  <c:v>4.1271110564338187E-2</c:v>
                </c:pt>
                <c:pt idx="8">
                  <c:v>2.9520549518711636E-2</c:v>
                </c:pt>
                <c:pt idx="9">
                  <c:v>2.6343808376209088E-2</c:v>
                </c:pt>
              </c:numCache>
            </c:numRef>
          </c:yVal>
          <c:smooth val="0"/>
          <c:extLst>
            <c:ext xmlns:c16="http://schemas.microsoft.com/office/drawing/2014/chart" uri="{C3380CC4-5D6E-409C-BE32-E72D297353CC}">
              <c16:uniqueId val="{00000001-A640-4192-8CFA-A79328479675}"/>
            </c:ext>
          </c:extLst>
        </c:ser>
        <c:dLbls>
          <c:showLegendKey val="0"/>
          <c:showVal val="0"/>
          <c:showCatName val="0"/>
          <c:showSerName val="0"/>
          <c:showPercent val="0"/>
          <c:showBubbleSize val="0"/>
        </c:dLbls>
        <c:axId val="81405276"/>
        <c:axId val="87241453"/>
      </c:scatterChart>
      <c:valAx>
        <c:axId val="81405276"/>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87241453"/>
        <c:crosses val="autoZero"/>
        <c:crossBetween val="midCat"/>
        <c:majorUnit val="1"/>
      </c:valAx>
      <c:valAx>
        <c:axId val="87241453"/>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1405276"/>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Valuation: Gross NOI Multiple (2016-2025)
Composite figures are aggregate, not per share; shares outstanding grew 4.9% per year on average (53% cumulative,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Gross NOI Multiple (x)</c:v>
          </c:tx>
          <c:spPr>
            <a:ln w="28440">
              <a:solidFill>
                <a:srgbClr val="A31F34"/>
              </a:solidFill>
              <a:round/>
            </a:ln>
          </c:spPr>
          <c:marker>
            <c:symbol val="square"/>
            <c:size val="5"/>
            <c:spPr>
              <a:solidFill>
                <a:srgbClr val="A31F34"/>
              </a:solidFill>
            </c:spPr>
          </c:marker>
          <c:dPt>
            <c:idx val="0"/>
            <c:bubble3D val="0"/>
            <c:extLst>
              <c:ext xmlns:c16="http://schemas.microsoft.com/office/drawing/2014/chart" uri="{C3380CC4-5D6E-409C-BE32-E72D297353CC}">
                <c16:uniqueId val="{00000000-A763-4D94-BAAE-33BB4F52EE63}"/>
              </c:ext>
            </c:extLst>
          </c:dPt>
          <c:dPt>
            <c:idx val="1"/>
            <c:bubble3D val="0"/>
            <c:extLst>
              <c:ext xmlns:c16="http://schemas.microsoft.com/office/drawing/2014/chart" uri="{C3380CC4-5D6E-409C-BE32-E72D297353CC}">
                <c16:uniqueId val="{00000001-A763-4D94-BAAE-33BB4F52EE63}"/>
              </c:ext>
            </c:extLst>
          </c:dPt>
          <c:dPt>
            <c:idx val="2"/>
            <c:bubble3D val="0"/>
            <c:extLst>
              <c:ext xmlns:c16="http://schemas.microsoft.com/office/drawing/2014/chart" uri="{C3380CC4-5D6E-409C-BE32-E72D297353CC}">
                <c16:uniqueId val="{00000002-A763-4D94-BAAE-33BB4F52EE63}"/>
              </c:ext>
            </c:extLst>
          </c:dPt>
          <c:dPt>
            <c:idx val="3"/>
            <c:bubble3D val="0"/>
            <c:extLst>
              <c:ext xmlns:c16="http://schemas.microsoft.com/office/drawing/2014/chart" uri="{C3380CC4-5D6E-409C-BE32-E72D297353CC}">
                <c16:uniqueId val="{00000003-A763-4D94-BAAE-33BB4F52EE63}"/>
              </c:ext>
            </c:extLst>
          </c:dPt>
          <c:dPt>
            <c:idx val="4"/>
            <c:bubble3D val="0"/>
            <c:extLst>
              <c:ext xmlns:c16="http://schemas.microsoft.com/office/drawing/2014/chart" uri="{C3380CC4-5D6E-409C-BE32-E72D297353CC}">
                <c16:uniqueId val="{00000004-A763-4D94-BAAE-33BB4F52EE63}"/>
              </c:ext>
            </c:extLst>
          </c:dPt>
          <c:dPt>
            <c:idx val="5"/>
            <c:bubble3D val="0"/>
            <c:extLst>
              <c:ext xmlns:c16="http://schemas.microsoft.com/office/drawing/2014/chart" uri="{C3380CC4-5D6E-409C-BE32-E72D297353CC}">
                <c16:uniqueId val="{00000005-A763-4D94-BAAE-33BB4F52EE63}"/>
              </c:ext>
            </c:extLst>
          </c:dPt>
          <c:dPt>
            <c:idx val="6"/>
            <c:bubble3D val="0"/>
            <c:extLst>
              <c:ext xmlns:c16="http://schemas.microsoft.com/office/drawing/2014/chart" uri="{C3380CC4-5D6E-409C-BE32-E72D297353CC}">
                <c16:uniqueId val="{00000006-A763-4D94-BAAE-33BB4F52EE63}"/>
              </c:ext>
            </c:extLst>
          </c:dPt>
          <c:dPt>
            <c:idx val="7"/>
            <c:bubble3D val="0"/>
            <c:extLst>
              <c:ext xmlns:c16="http://schemas.microsoft.com/office/drawing/2014/chart" uri="{C3380CC4-5D6E-409C-BE32-E72D297353CC}">
                <c16:uniqueId val="{00000007-A763-4D94-BAAE-33BB4F52EE63}"/>
              </c:ext>
            </c:extLst>
          </c:dPt>
          <c:dPt>
            <c:idx val="8"/>
            <c:bubble3D val="0"/>
            <c:extLst>
              <c:ext xmlns:c16="http://schemas.microsoft.com/office/drawing/2014/chart" uri="{C3380CC4-5D6E-409C-BE32-E72D297353CC}">
                <c16:uniqueId val="{00000008-A763-4D94-BAAE-33BB4F52EE63}"/>
              </c:ext>
            </c:extLst>
          </c:dPt>
          <c:dPt>
            <c:idx val="9"/>
            <c:bubble3D val="0"/>
            <c:extLst>
              <c:ext xmlns:c16="http://schemas.microsoft.com/office/drawing/2014/chart" uri="{C3380CC4-5D6E-409C-BE32-E72D297353CC}">
                <c16:uniqueId val="{00000009-A763-4D94-BAAE-33BB4F52EE63}"/>
              </c:ext>
            </c:extLst>
          </c:dPt>
          <c:dLbls>
            <c:dLbl>
              <c:idx val="0"/>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0-A763-4D94-BAAE-33BB4F52EE63}"/>
                </c:ext>
              </c:extLst>
            </c:dLbl>
            <c:dLbl>
              <c:idx val="1"/>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1-A763-4D94-BAAE-33BB4F52EE63}"/>
                </c:ext>
              </c:extLst>
            </c:dLbl>
            <c:dLbl>
              <c:idx val="2"/>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2-A763-4D94-BAAE-33BB4F52EE63}"/>
                </c:ext>
              </c:extLst>
            </c:dLbl>
            <c:dLbl>
              <c:idx val="3"/>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3-A763-4D94-BAAE-33BB4F52EE63}"/>
                </c:ext>
              </c:extLst>
            </c:dLbl>
            <c:dLbl>
              <c:idx val="4"/>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4-A763-4D94-BAAE-33BB4F52EE63}"/>
                </c:ext>
              </c:extLst>
            </c:dLbl>
            <c:dLbl>
              <c:idx val="5"/>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5-A763-4D94-BAAE-33BB4F52EE63}"/>
                </c:ext>
              </c:extLst>
            </c:dLbl>
            <c:dLbl>
              <c:idx val="6"/>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6-A763-4D94-BAAE-33BB4F52EE63}"/>
                </c:ext>
              </c:extLst>
            </c:dLbl>
            <c:dLbl>
              <c:idx val="7"/>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7-A763-4D94-BAAE-33BB4F52EE63}"/>
                </c:ext>
              </c:extLst>
            </c:dLbl>
            <c:dLbl>
              <c:idx val="8"/>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8-A763-4D94-BAAE-33BB4F52EE63}"/>
                </c:ext>
              </c:extLst>
            </c:dLbl>
            <c:dLbl>
              <c:idx val="9"/>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extLst>
                <c:ext xmlns:c16="http://schemas.microsoft.com/office/drawing/2014/chart" uri="{C3380CC4-5D6E-409C-BE32-E72D297353CC}">
                  <c16:uniqueId val="{00000009-A763-4D94-BAAE-33BB4F52EE63}"/>
                </c:ext>
              </c:extLst>
            </c:dLbl>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Market'!$J$4:$J$13</c:f>
              <c:numCache>
                <c:formatCode>0.0\x</c:formatCode>
                <c:ptCount val="10"/>
                <c:pt idx="0">
                  <c:v>15.048247634848762</c:v>
                </c:pt>
                <c:pt idx="1">
                  <c:v>15.981484414053313</c:v>
                </c:pt>
                <c:pt idx="2">
                  <c:v>15.213157852494698</c:v>
                </c:pt>
                <c:pt idx="3">
                  <c:v>19.474987777986119</c:v>
                </c:pt>
                <c:pt idx="4">
                  <c:v>18.481201264942356</c:v>
                </c:pt>
                <c:pt idx="5">
                  <c:v>26.410887497788725</c:v>
                </c:pt>
                <c:pt idx="6">
                  <c:v>16.630156555500051</c:v>
                </c:pt>
                <c:pt idx="7">
                  <c:v>17.90999594339355</c:v>
                </c:pt>
                <c:pt idx="8">
                  <c:v>15.250270423998689</c:v>
                </c:pt>
                <c:pt idx="9">
                  <c:v>15.671665090749659</c:v>
                </c:pt>
              </c:numCache>
            </c:numRef>
          </c:yVal>
          <c:smooth val="0"/>
          <c:extLst>
            <c:ext xmlns:c16="http://schemas.microsoft.com/office/drawing/2014/chart" uri="{C3380CC4-5D6E-409C-BE32-E72D297353CC}">
              <c16:uniqueId val="{0000000A-A763-4D94-BAAE-33BB4F52EE63}"/>
            </c:ext>
          </c:extLst>
        </c:ser>
        <c:dLbls>
          <c:showLegendKey val="0"/>
          <c:showVal val="0"/>
          <c:showCatName val="0"/>
          <c:showSerName val="0"/>
          <c:showPercent val="0"/>
          <c:showBubbleSize val="0"/>
        </c:dLbls>
        <c:axId val="29152727"/>
        <c:axId val="58080964"/>
      </c:scatterChart>
      <c:valAx>
        <c:axId val="29152727"/>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58080964"/>
        <c:crosses val="autoZero"/>
        <c:crossBetween val="midCat"/>
        <c:majorUnit val="1"/>
      </c:valAx>
      <c:valAx>
        <c:axId val="58080964"/>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9152727"/>
        <c:crosses val="autoZero"/>
        <c:crossBetween val="midCat"/>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800" b="1" strike="noStrike" spc="-1">
                <a:solidFill>
                  <a:srgbClr val="000000"/>
                </a:solidFill>
                <a:latin typeface="Calibri"/>
              </a:defRPr>
            </a:pPr>
            <a:r>
              <a:rPr lang="en-US" sz="1800" b="1" strike="noStrike" spc="-1">
                <a:solidFill>
                  <a:srgbClr val="000000"/>
                </a:solidFill>
                <a:latin typeface="Calibri"/>
              </a:rPr>
              <a:t>Composite Stabilized Implied Cap Rate vs. 10-Yr UST, with Spread (2016-2025)</a:t>
            </a:r>
          </a:p>
        </c:rich>
      </c:tx>
      <c:overlay val="0"/>
      <c:spPr>
        <a:noFill/>
        <a:ln w="0">
          <a:noFill/>
        </a:ln>
      </c:spPr>
    </c:title>
    <c:autoTitleDeleted val="0"/>
    <c:plotArea>
      <c:layout>
        <c:manualLayout>
          <c:layoutTarget val="inner"/>
          <c:xMode val="edge"/>
          <c:yMode val="edge"/>
          <c:x val="0.100036425047187"/>
          <c:y val="0.14011856186003499"/>
          <c:w val="0.79952978575449496"/>
          <c:h val="0.67972900146277604"/>
        </c:manualLayout>
      </c:layout>
      <c:barChart>
        <c:barDir val="col"/>
        <c:grouping val="clustered"/>
        <c:varyColors val="0"/>
        <c:ser>
          <c:idx val="0"/>
          <c:order val="0"/>
          <c:tx>
            <c:strRef>
              <c:f>'Composite vs Market'!$D$3</c:f>
              <c:strCache>
                <c:ptCount val="1"/>
                <c:pt idx="0">
                  <c:v>Spread: Cap Rate less UST (pp)</c:v>
                </c:pt>
              </c:strCache>
            </c:strRef>
          </c:tx>
          <c:spPr>
            <a:solidFill>
              <a:srgbClr val="D9A0A8"/>
            </a:solidFill>
            <a:ln w="0">
              <a:solidFill>
                <a:srgbClr val="B87B85"/>
              </a:solid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Market'!$D$4:$D$13</c:f>
              <c:numCache>
                <c:formatCode>0.00%</c:formatCode>
                <c:ptCount val="10"/>
                <c:pt idx="0">
                  <c:v>4.1952920251272181E-2</c:v>
                </c:pt>
                <c:pt idx="1">
                  <c:v>3.8572410302553019E-2</c:v>
                </c:pt>
                <c:pt idx="2">
                  <c:v>3.8832572401857841E-2</c:v>
                </c:pt>
                <c:pt idx="3">
                  <c:v>3.2147914124514468E-2</c:v>
                </c:pt>
                <c:pt idx="4">
                  <c:v>4.4809036835010037E-2</c:v>
                </c:pt>
                <c:pt idx="5">
                  <c:v>2.2663172908662231E-2</c:v>
                </c:pt>
                <c:pt idx="6">
                  <c:v>2.1331724957770914E-2</c:v>
                </c:pt>
                <c:pt idx="7">
                  <c:v>1.7034741848105744E-2</c:v>
                </c:pt>
                <c:pt idx="8">
                  <c:v>1.9772607711030711E-2</c:v>
                </c:pt>
                <c:pt idx="9">
                  <c:v>2.2009428941297308E-2</c:v>
                </c:pt>
              </c:numCache>
            </c:numRef>
          </c:val>
          <c:extLst>
            <c:ext xmlns:c16="http://schemas.microsoft.com/office/drawing/2014/chart" uri="{C3380CC4-5D6E-409C-BE32-E72D297353CC}">
              <c16:uniqueId val="{00000000-407C-4A19-8075-BC7F3345C91E}"/>
            </c:ext>
          </c:extLst>
        </c:ser>
        <c:dLbls>
          <c:showLegendKey val="0"/>
          <c:showVal val="0"/>
          <c:showCatName val="0"/>
          <c:showSerName val="0"/>
          <c:showPercent val="0"/>
          <c:showBubbleSize val="0"/>
        </c:dLbls>
        <c:gapWidth val="80"/>
        <c:axId val="55615599"/>
        <c:axId val="46110336"/>
      </c:barChart>
      <c:lineChart>
        <c:grouping val="standard"/>
        <c:varyColors val="0"/>
        <c:ser>
          <c:idx val="1"/>
          <c:order val="1"/>
          <c:tx>
            <c:strRef>
              <c:f>'Composite vs Market'!$B$3</c:f>
              <c:strCache>
                <c:ptCount val="1"/>
                <c:pt idx="0">
                  <c:v>Composite Stabilized Implied Cap Rate (%)</c:v>
                </c:pt>
              </c:strCache>
            </c:strRef>
          </c:tx>
          <c:spPr>
            <a:ln w="28080">
              <a:solidFill>
                <a:srgbClr val="A31F34"/>
              </a:solidFill>
              <a:round/>
            </a:ln>
          </c:spPr>
          <c:marker>
            <c:symbol val="circle"/>
            <c:size val="6"/>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Market'!$B$4:$B$13</c:f>
              <c:numCache>
                <c:formatCode>0.00%</c:formatCode>
                <c:ptCount val="10"/>
                <c:pt idx="0">
                  <c:v>6.6452920251272182E-2</c:v>
                </c:pt>
                <c:pt idx="1">
                  <c:v>6.2572410302553019E-2</c:v>
                </c:pt>
                <c:pt idx="2">
                  <c:v>6.5732572401857842E-2</c:v>
                </c:pt>
                <c:pt idx="3">
                  <c:v>5.134791412451447E-2</c:v>
                </c:pt>
                <c:pt idx="4">
                  <c:v>5.410903683501004E-2</c:v>
                </c:pt>
                <c:pt idx="5">
                  <c:v>3.7863172908662229E-2</c:v>
                </c:pt>
                <c:pt idx="6">
                  <c:v>6.0131724957770916E-2</c:v>
                </c:pt>
                <c:pt idx="7">
                  <c:v>5.5834741848105746E-2</c:v>
                </c:pt>
                <c:pt idx="8">
                  <c:v>6.5572607711030712E-2</c:v>
                </c:pt>
                <c:pt idx="9">
                  <c:v>6.3809428941297305E-2</c:v>
                </c:pt>
              </c:numCache>
            </c:numRef>
          </c:val>
          <c:smooth val="0"/>
          <c:extLst>
            <c:ext xmlns:c16="http://schemas.microsoft.com/office/drawing/2014/chart" uri="{C3380CC4-5D6E-409C-BE32-E72D297353CC}">
              <c16:uniqueId val="{00000001-407C-4A19-8075-BC7F3345C91E}"/>
            </c:ext>
          </c:extLst>
        </c:ser>
        <c:ser>
          <c:idx val="2"/>
          <c:order val="2"/>
          <c:tx>
            <c:strRef>
              <c:f>'Composite vs Market'!$C$3</c:f>
              <c:strCache>
                <c:ptCount val="1"/>
                <c:pt idx="0">
                  <c:v>10-Yr UST Yield (%)</c:v>
                </c:pt>
              </c:strCache>
            </c:strRef>
          </c:tx>
          <c:spPr>
            <a:ln w="28080">
              <a:solidFill>
                <a:srgbClr val="3A3A3A"/>
              </a:solidFill>
              <a:round/>
            </a:ln>
          </c:spPr>
          <c:marker>
            <c:symbol val="circle"/>
            <c:size val="6"/>
            <c:spPr>
              <a:solidFill>
                <a:srgbClr val="3A3A3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Market'!$C$4:$C$13</c:f>
              <c:numCache>
                <c:formatCode>0.00%</c:formatCode>
                <c:ptCount val="10"/>
                <c:pt idx="0">
                  <c:v>2.4500000000000001E-2</c:v>
                </c:pt>
                <c:pt idx="1">
                  <c:v>2.4E-2</c:v>
                </c:pt>
                <c:pt idx="2">
                  <c:v>2.69E-2</c:v>
                </c:pt>
                <c:pt idx="3">
                  <c:v>1.9199999999999998E-2</c:v>
                </c:pt>
                <c:pt idx="4">
                  <c:v>9.300000000000001E-3</c:v>
                </c:pt>
                <c:pt idx="5">
                  <c:v>1.52E-2</c:v>
                </c:pt>
                <c:pt idx="6">
                  <c:v>3.8800000000000001E-2</c:v>
                </c:pt>
                <c:pt idx="7">
                  <c:v>3.8800000000000001E-2</c:v>
                </c:pt>
                <c:pt idx="8">
                  <c:v>4.58E-2</c:v>
                </c:pt>
                <c:pt idx="9">
                  <c:v>4.1799999999999997E-2</c:v>
                </c:pt>
              </c:numCache>
            </c:numRef>
          </c:val>
          <c:smooth val="0"/>
          <c:extLst>
            <c:ext xmlns:c16="http://schemas.microsoft.com/office/drawing/2014/chart" uri="{C3380CC4-5D6E-409C-BE32-E72D297353CC}">
              <c16:uniqueId val="{00000002-407C-4A19-8075-BC7F3345C91E}"/>
            </c:ext>
          </c:extLst>
        </c:ser>
        <c:dLbls>
          <c:showLegendKey val="0"/>
          <c:showVal val="0"/>
          <c:showCatName val="0"/>
          <c:showSerName val="0"/>
          <c:showPercent val="0"/>
          <c:showBubbleSize val="0"/>
        </c:dLbls>
        <c:hiLowLines>
          <c:spPr>
            <a:ln w="0">
              <a:noFill/>
            </a:ln>
          </c:spPr>
        </c:hiLowLines>
        <c:marker val="1"/>
        <c:smooth val="0"/>
        <c:axId val="24807951"/>
        <c:axId val="39617732"/>
      </c:lineChart>
      <c:catAx>
        <c:axId val="55615599"/>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46110336"/>
        <c:crosses val="autoZero"/>
        <c:auto val="1"/>
        <c:lblAlgn val="ctr"/>
        <c:lblOffset val="100"/>
        <c:noMultiLvlLbl val="0"/>
      </c:catAx>
      <c:valAx>
        <c:axId val="46110336"/>
        <c:scaling>
          <c:orientation val="minMax"/>
        </c:scaling>
        <c:delete val="0"/>
        <c:axPos val="l"/>
        <c:majorGridlines>
          <c:spPr>
            <a:ln w="0">
              <a:solidFill>
                <a:srgbClr val="B3B3B3"/>
              </a:solidFill>
            </a:ln>
          </c:spPr>
        </c:majorGridlines>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Spread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5615599"/>
        <c:crosses val="autoZero"/>
        <c:crossBetween val="between"/>
      </c:valAx>
      <c:catAx>
        <c:axId val="24807951"/>
        <c:scaling>
          <c:orientation val="minMax"/>
        </c:scaling>
        <c:delete val="1"/>
        <c:axPos val="b"/>
        <c:numFmt formatCode="General" sourceLinked="1"/>
        <c:majorTickMark val="none"/>
        <c:minorTickMark val="none"/>
        <c:tickLblPos val="nextTo"/>
        <c:crossAx val="39617732"/>
        <c:crosses val="autoZero"/>
        <c:auto val="1"/>
        <c:lblAlgn val="ctr"/>
        <c:lblOffset val="100"/>
        <c:noMultiLvlLbl val="0"/>
      </c:catAx>
      <c:valAx>
        <c:axId val="39617732"/>
        <c:scaling>
          <c:orientation val="minMax"/>
        </c:scaling>
        <c:delete val="0"/>
        <c:axPos val="r"/>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24807951"/>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800" b="1" strike="noStrike" spc="-1">
                <a:solidFill>
                  <a:srgbClr val="000000"/>
                </a:solidFill>
                <a:latin typeface="Calibri"/>
              </a:defRPr>
            </a:pPr>
            <a:r>
              <a:rPr lang="en-US" sz="1800" b="1" strike="noStrike" spc="-1">
                <a:solidFill>
                  <a:srgbClr val="000000"/>
                </a:solidFill>
                <a:latin typeface="Calibri"/>
              </a:rPr>
              <a:t>Composite: Cap Rate vs. Leveraged Equity Yield (2016-2025)</a:t>
            </a:r>
          </a:p>
        </c:rich>
      </c:tx>
      <c:overlay val="0"/>
      <c:spPr>
        <a:noFill/>
        <a:ln w="0">
          <a:noFill/>
        </a:ln>
      </c:spPr>
    </c:title>
    <c:autoTitleDeleted val="0"/>
    <c:plotArea>
      <c:layout>
        <c:manualLayout>
          <c:layoutTarget val="inner"/>
          <c:xMode val="edge"/>
          <c:yMode val="edge"/>
          <c:x val="0.100036425047187"/>
          <c:y val="0.14011856186003499"/>
          <c:w val="0.79952978575449496"/>
          <c:h val="0.67972900146277604"/>
        </c:manualLayout>
      </c:layout>
      <c:barChart>
        <c:barDir val="col"/>
        <c:grouping val="clustered"/>
        <c:varyColors val="0"/>
        <c:ser>
          <c:idx val="0"/>
          <c:order val="0"/>
          <c:tx>
            <c:strRef>
              <c:f>'Composite vs Market'!$F$3</c:f>
              <c:strCache>
                <c:ptCount val="1"/>
                <c:pt idx="0">
                  <c:v>Leverage Contribution: Lev Yield less Cap Rate (pp)</c:v>
                </c:pt>
              </c:strCache>
            </c:strRef>
          </c:tx>
          <c:spPr>
            <a:solidFill>
              <a:srgbClr val="9DBB9D"/>
            </a:solidFill>
            <a:ln w="0">
              <a:solidFill>
                <a:srgbClr val="7A9A7A"/>
              </a:solid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Market'!$F$4:$F$13</c:f>
              <c:numCache>
                <c:formatCode>0.00%</c:formatCode>
                <c:ptCount val="10"/>
                <c:pt idx="0">
                  <c:v>1.6337025214062717E-2</c:v>
                </c:pt>
                <c:pt idx="1">
                  <c:v>1.2348303705613295E-2</c:v>
                </c:pt>
                <c:pt idx="2">
                  <c:v>1.5674159254136608E-2</c:v>
                </c:pt>
                <c:pt idx="3">
                  <c:v>6.7355175145882018E-3</c:v>
                </c:pt>
                <c:pt idx="4">
                  <c:v>7.8069691123582238E-3</c:v>
                </c:pt>
                <c:pt idx="5">
                  <c:v>2.513740473265226E-3</c:v>
                </c:pt>
                <c:pt idx="6">
                  <c:v>1.4693100259964453E-2</c:v>
                </c:pt>
                <c:pt idx="7">
                  <c:v>7.6858425415339549E-3</c:v>
                </c:pt>
                <c:pt idx="8">
                  <c:v>1.213337243079235E-2</c:v>
                </c:pt>
                <c:pt idx="9">
                  <c:v>1.1311145041685247E-2</c:v>
                </c:pt>
              </c:numCache>
            </c:numRef>
          </c:val>
          <c:extLst>
            <c:ext xmlns:c16="http://schemas.microsoft.com/office/drawing/2014/chart" uri="{C3380CC4-5D6E-409C-BE32-E72D297353CC}">
              <c16:uniqueId val="{00000000-0F0A-4658-96A0-23D54D2AD996}"/>
            </c:ext>
          </c:extLst>
        </c:ser>
        <c:dLbls>
          <c:showLegendKey val="0"/>
          <c:showVal val="0"/>
          <c:showCatName val="0"/>
          <c:showSerName val="0"/>
          <c:showPercent val="0"/>
          <c:showBubbleSize val="0"/>
        </c:dLbls>
        <c:gapWidth val="80"/>
        <c:axId val="81672116"/>
        <c:axId val="34749879"/>
      </c:barChart>
      <c:lineChart>
        <c:grouping val="standard"/>
        <c:varyColors val="0"/>
        <c:ser>
          <c:idx val="1"/>
          <c:order val="1"/>
          <c:tx>
            <c:strRef>
              <c:f>'Composite vs Market'!$B$3</c:f>
              <c:strCache>
                <c:ptCount val="1"/>
                <c:pt idx="0">
                  <c:v>Composite Stabilized Implied Cap Rate (%)</c:v>
                </c:pt>
              </c:strCache>
            </c:strRef>
          </c:tx>
          <c:spPr>
            <a:ln w="28080">
              <a:solidFill>
                <a:srgbClr val="A31F34"/>
              </a:solidFill>
              <a:round/>
            </a:ln>
          </c:spPr>
          <c:marker>
            <c:symbol val="circle"/>
            <c:size val="6"/>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Market'!$B$4:$B$13</c:f>
              <c:numCache>
                <c:formatCode>0.00%</c:formatCode>
                <c:ptCount val="10"/>
                <c:pt idx="0">
                  <c:v>6.6452920251272182E-2</c:v>
                </c:pt>
                <c:pt idx="1">
                  <c:v>6.2572410302553019E-2</c:v>
                </c:pt>
                <c:pt idx="2">
                  <c:v>6.5732572401857842E-2</c:v>
                </c:pt>
                <c:pt idx="3">
                  <c:v>5.134791412451447E-2</c:v>
                </c:pt>
                <c:pt idx="4">
                  <c:v>5.410903683501004E-2</c:v>
                </c:pt>
                <c:pt idx="5">
                  <c:v>3.7863172908662229E-2</c:v>
                </c:pt>
                <c:pt idx="6">
                  <c:v>6.0131724957770916E-2</c:v>
                </c:pt>
                <c:pt idx="7">
                  <c:v>5.5834741848105746E-2</c:v>
                </c:pt>
                <c:pt idx="8">
                  <c:v>6.5572607711030712E-2</c:v>
                </c:pt>
                <c:pt idx="9">
                  <c:v>6.3809428941297305E-2</c:v>
                </c:pt>
              </c:numCache>
            </c:numRef>
          </c:val>
          <c:smooth val="0"/>
          <c:extLst>
            <c:ext xmlns:c16="http://schemas.microsoft.com/office/drawing/2014/chart" uri="{C3380CC4-5D6E-409C-BE32-E72D297353CC}">
              <c16:uniqueId val="{00000001-0F0A-4658-96A0-23D54D2AD996}"/>
            </c:ext>
          </c:extLst>
        </c:ser>
        <c:ser>
          <c:idx val="2"/>
          <c:order val="2"/>
          <c:tx>
            <c:strRef>
              <c:f>'Composite vs Market'!$E$3</c:f>
              <c:strCache>
                <c:ptCount val="1"/>
                <c:pt idx="0">
                  <c:v>Composite Stabilized Leveraged Equity Yield (%)</c:v>
                </c:pt>
              </c:strCache>
            </c:strRef>
          </c:tx>
          <c:spPr>
            <a:ln w="28080">
              <a:solidFill>
                <a:srgbClr val="3A3A3A"/>
              </a:solidFill>
              <a:round/>
            </a:ln>
          </c:spPr>
          <c:marker>
            <c:symbol val="circle"/>
            <c:size val="6"/>
            <c:spPr>
              <a:solidFill>
                <a:srgbClr val="3A3A3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Market'!$E$4:$E$13</c:f>
              <c:numCache>
                <c:formatCode>0.00%</c:formatCode>
                <c:ptCount val="10"/>
                <c:pt idx="0">
                  <c:v>8.2789945465334899E-2</c:v>
                </c:pt>
                <c:pt idx="1">
                  <c:v>7.4920714008166314E-2</c:v>
                </c:pt>
                <c:pt idx="2">
                  <c:v>8.1406731655994449E-2</c:v>
                </c:pt>
                <c:pt idx="3">
                  <c:v>5.8083431639102671E-2</c:v>
                </c:pt>
                <c:pt idx="4">
                  <c:v>6.1916005947368263E-2</c:v>
                </c:pt>
                <c:pt idx="5">
                  <c:v>4.0376913381927455E-2</c:v>
                </c:pt>
                <c:pt idx="6">
                  <c:v>7.4824825217735369E-2</c:v>
                </c:pt>
                <c:pt idx="7">
                  <c:v>6.35205843896397E-2</c:v>
                </c:pt>
                <c:pt idx="8">
                  <c:v>7.7705980141823061E-2</c:v>
                </c:pt>
                <c:pt idx="9">
                  <c:v>7.5120573982982553E-2</c:v>
                </c:pt>
              </c:numCache>
            </c:numRef>
          </c:val>
          <c:smooth val="0"/>
          <c:extLst>
            <c:ext xmlns:c16="http://schemas.microsoft.com/office/drawing/2014/chart" uri="{C3380CC4-5D6E-409C-BE32-E72D297353CC}">
              <c16:uniqueId val="{00000002-0F0A-4658-96A0-23D54D2AD996}"/>
            </c:ext>
          </c:extLst>
        </c:ser>
        <c:dLbls>
          <c:showLegendKey val="0"/>
          <c:showVal val="0"/>
          <c:showCatName val="0"/>
          <c:showSerName val="0"/>
          <c:showPercent val="0"/>
          <c:showBubbleSize val="0"/>
        </c:dLbls>
        <c:hiLowLines>
          <c:spPr>
            <a:ln w="0">
              <a:noFill/>
            </a:ln>
          </c:spPr>
        </c:hiLowLines>
        <c:marker val="1"/>
        <c:smooth val="0"/>
        <c:axId val="67572168"/>
        <c:axId val="29432144"/>
      </c:lineChart>
      <c:catAx>
        <c:axId val="81672116"/>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34749879"/>
        <c:crosses val="autoZero"/>
        <c:auto val="1"/>
        <c:lblAlgn val="ctr"/>
        <c:lblOffset val="100"/>
        <c:noMultiLvlLbl val="0"/>
      </c:catAx>
      <c:valAx>
        <c:axId val="34749879"/>
        <c:scaling>
          <c:orientation val="minMax"/>
        </c:scaling>
        <c:delete val="0"/>
        <c:axPos val="l"/>
        <c:majorGridlines>
          <c:spPr>
            <a:ln w="0">
              <a:solidFill>
                <a:srgbClr val="B3B3B3"/>
              </a:solidFill>
            </a:ln>
          </c:spPr>
        </c:majorGridlines>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81672116"/>
        <c:crosses val="autoZero"/>
        <c:crossBetween val="between"/>
      </c:valAx>
      <c:catAx>
        <c:axId val="67572168"/>
        <c:scaling>
          <c:orientation val="minMax"/>
        </c:scaling>
        <c:delete val="1"/>
        <c:axPos val="b"/>
        <c:numFmt formatCode="General" sourceLinked="1"/>
        <c:majorTickMark val="none"/>
        <c:minorTickMark val="none"/>
        <c:tickLblPos val="nextTo"/>
        <c:crossAx val="29432144"/>
        <c:crosses val="autoZero"/>
        <c:auto val="1"/>
        <c:lblAlgn val="ctr"/>
        <c:lblOffset val="100"/>
        <c:noMultiLvlLbl val="0"/>
      </c:catAx>
      <c:valAx>
        <c:axId val="29432144"/>
        <c:scaling>
          <c:orientation val="minMax"/>
        </c:scaling>
        <c:delete val="0"/>
        <c:axPos val="r"/>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7572168"/>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9.0036093910394396E-2"/>
          <c:y val="0.20016937408576499"/>
          <c:w val="0.81956356170734102"/>
          <c:h val="0.55962737701131704"/>
        </c:manualLayout>
      </c:layout>
      <c:barChart>
        <c:barDir val="col"/>
        <c:grouping val="stacked"/>
        <c:varyColors val="0"/>
        <c:ser>
          <c:idx val="0"/>
          <c:order val="0"/>
          <c:tx>
            <c:v>Annual NOI ($M)</c:v>
          </c:tx>
          <c:spPr>
            <a:solidFill>
              <a:srgbClr val="A31F34"/>
            </a:solidFill>
            <a:ln w="0">
              <a:noFill/>
            </a:ln>
          </c:spPr>
          <c:invertIfNegative val="0"/>
          <c:dPt>
            <c:idx val="1"/>
            <c:invertIfNegative val="0"/>
            <c:bubble3D val="0"/>
            <c:spPr>
              <a:solidFill>
                <a:srgbClr val="A31F34"/>
              </a:solidFill>
              <a:ln w="0">
                <a:noFill/>
              </a:ln>
            </c:spPr>
            <c:extLst>
              <c:ext xmlns:c16="http://schemas.microsoft.com/office/drawing/2014/chart" uri="{C3380CC4-5D6E-409C-BE32-E72D297353CC}">
                <c16:uniqueId val="{00000001-0037-4B79-8937-DB4E7257BBA2}"/>
              </c:ext>
            </c:extLst>
          </c:dPt>
          <c:dPt>
            <c:idx val="2"/>
            <c:invertIfNegative val="0"/>
            <c:bubble3D val="0"/>
            <c:spPr>
              <a:solidFill>
                <a:srgbClr val="A31F34"/>
              </a:solidFill>
              <a:ln w="0">
                <a:noFill/>
              </a:ln>
            </c:spPr>
            <c:extLst>
              <c:ext xmlns:c16="http://schemas.microsoft.com/office/drawing/2014/chart" uri="{C3380CC4-5D6E-409C-BE32-E72D297353CC}">
                <c16:uniqueId val="{00000003-0037-4B79-8937-DB4E7257BBA2}"/>
              </c:ext>
            </c:extLst>
          </c:dPt>
          <c:dPt>
            <c:idx val="3"/>
            <c:invertIfNegative val="0"/>
            <c:bubble3D val="0"/>
            <c:spPr>
              <a:solidFill>
                <a:srgbClr val="A31F34"/>
              </a:solidFill>
              <a:ln w="0">
                <a:noFill/>
              </a:ln>
            </c:spPr>
            <c:extLst>
              <c:ext xmlns:c16="http://schemas.microsoft.com/office/drawing/2014/chart" uri="{C3380CC4-5D6E-409C-BE32-E72D297353CC}">
                <c16:uniqueId val="{00000005-0037-4B79-8937-DB4E7257BBA2}"/>
              </c:ext>
            </c:extLst>
          </c:dPt>
          <c:dPt>
            <c:idx val="4"/>
            <c:invertIfNegative val="0"/>
            <c:bubble3D val="0"/>
            <c:spPr>
              <a:solidFill>
                <a:srgbClr val="A31F34"/>
              </a:solidFill>
              <a:ln w="0">
                <a:noFill/>
              </a:ln>
            </c:spPr>
            <c:extLst>
              <c:ext xmlns:c16="http://schemas.microsoft.com/office/drawing/2014/chart" uri="{C3380CC4-5D6E-409C-BE32-E72D297353CC}">
                <c16:uniqueId val="{00000007-0037-4B79-8937-DB4E7257BBA2}"/>
              </c:ext>
            </c:extLst>
          </c:dPt>
          <c:dPt>
            <c:idx val="5"/>
            <c:invertIfNegative val="0"/>
            <c:bubble3D val="0"/>
            <c:spPr>
              <a:solidFill>
                <a:srgbClr val="A31F34"/>
              </a:solidFill>
              <a:ln w="0">
                <a:noFill/>
              </a:ln>
            </c:spPr>
            <c:extLst>
              <c:ext xmlns:c16="http://schemas.microsoft.com/office/drawing/2014/chart" uri="{C3380CC4-5D6E-409C-BE32-E72D297353CC}">
                <c16:uniqueId val="{00000009-0037-4B79-8937-DB4E7257BBA2}"/>
              </c:ext>
            </c:extLst>
          </c:dPt>
          <c:dPt>
            <c:idx val="6"/>
            <c:invertIfNegative val="0"/>
            <c:bubble3D val="0"/>
            <c:spPr>
              <a:solidFill>
                <a:srgbClr val="A31F34"/>
              </a:solidFill>
              <a:ln w="0">
                <a:noFill/>
              </a:ln>
            </c:spPr>
            <c:extLst>
              <c:ext xmlns:c16="http://schemas.microsoft.com/office/drawing/2014/chart" uri="{C3380CC4-5D6E-409C-BE32-E72D297353CC}">
                <c16:uniqueId val="{0000000B-0037-4B79-8937-DB4E7257BBA2}"/>
              </c:ext>
            </c:extLst>
          </c:dPt>
          <c:dPt>
            <c:idx val="7"/>
            <c:invertIfNegative val="0"/>
            <c:bubble3D val="0"/>
            <c:spPr>
              <a:solidFill>
                <a:srgbClr val="A31F34"/>
              </a:solidFill>
              <a:ln w="0">
                <a:noFill/>
              </a:ln>
            </c:spPr>
            <c:extLst>
              <c:ext xmlns:c16="http://schemas.microsoft.com/office/drawing/2014/chart" uri="{C3380CC4-5D6E-409C-BE32-E72D297353CC}">
                <c16:uniqueId val="{0000000D-0037-4B79-8937-DB4E7257BBA2}"/>
              </c:ext>
            </c:extLst>
          </c:dPt>
          <c:dPt>
            <c:idx val="8"/>
            <c:invertIfNegative val="0"/>
            <c:bubble3D val="0"/>
            <c:spPr>
              <a:solidFill>
                <a:srgbClr val="A31F34"/>
              </a:solidFill>
              <a:ln w="0">
                <a:noFill/>
              </a:ln>
            </c:spPr>
            <c:extLst>
              <c:ext xmlns:c16="http://schemas.microsoft.com/office/drawing/2014/chart" uri="{C3380CC4-5D6E-409C-BE32-E72D297353CC}">
                <c16:uniqueId val="{0000000F-0037-4B79-8937-DB4E7257BBA2}"/>
              </c:ext>
            </c:extLst>
          </c:dPt>
          <c:dPt>
            <c:idx val="9"/>
            <c:invertIfNegative val="0"/>
            <c:bubble3D val="0"/>
            <c:spPr>
              <a:solidFill>
                <a:srgbClr val="A31F34"/>
              </a:solidFill>
              <a:ln w="0">
                <a:noFill/>
              </a:ln>
            </c:spPr>
            <c:extLst>
              <c:ext xmlns:c16="http://schemas.microsoft.com/office/drawing/2014/chart" uri="{C3380CC4-5D6E-409C-BE32-E72D297353CC}">
                <c16:uniqueId val="{00000011-0037-4B79-8937-DB4E7257BBA2}"/>
              </c:ext>
            </c:extLst>
          </c:dPt>
          <c:dLbls>
            <c:dLbl>
              <c:idx val="0"/>
              <c:delete val="1"/>
              <c:extLst>
                <c:ext xmlns:c15="http://schemas.microsoft.com/office/drawing/2012/chart" uri="{CE6537A1-D6FC-4f65-9D91-7224C49458BB}"/>
                <c:ext xmlns:c16="http://schemas.microsoft.com/office/drawing/2014/chart" uri="{C3380CC4-5D6E-409C-BE32-E72D297353CC}">
                  <c16:uniqueId val="{00000012-0037-4B79-8937-DB4E7257BBA2}"/>
                </c:ext>
              </c:extLst>
            </c:dLbl>
            <c:dLbl>
              <c:idx val="1"/>
              <c:layout>
                <c:manualLayout>
                  <c:x val="0"/>
                  <c:y val="-0.06"/>
                </c:manualLayout>
              </c:layout>
              <c:tx>
                <c:rich>
                  <a:bodyPr/>
                  <a:lstStyle/>
                  <a:p>
                    <a:pPr>
                      <a:defRPr sz="1000" b="1">
                        <a:solidFill>
                          <a:srgbClr val="A31F34"/>
                        </a:solidFill>
                      </a:defRPr>
                    </a:pPr>
                    <a:fld id="{E178D51C-676C-4D24-995A-F66660A49665}"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0037-4B79-8937-DB4E7257BBA2}"/>
                </c:ext>
              </c:extLst>
            </c:dLbl>
            <c:dLbl>
              <c:idx val="2"/>
              <c:layout>
                <c:manualLayout>
                  <c:x val="0"/>
                  <c:y val="-0.06"/>
                </c:manualLayout>
              </c:layout>
              <c:tx>
                <c:rich>
                  <a:bodyPr/>
                  <a:lstStyle/>
                  <a:p>
                    <a:pPr>
                      <a:defRPr sz="1000" b="1">
                        <a:solidFill>
                          <a:srgbClr val="A31F34"/>
                        </a:solidFill>
                      </a:defRPr>
                    </a:pPr>
                    <a:fld id="{9454B641-9CF1-4FC0-9F4D-E3C73DD4B1E8}"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0037-4B79-8937-DB4E7257BBA2}"/>
                </c:ext>
              </c:extLst>
            </c:dLbl>
            <c:dLbl>
              <c:idx val="3"/>
              <c:layout>
                <c:manualLayout>
                  <c:x val="0"/>
                  <c:y val="-0.06"/>
                </c:manualLayout>
              </c:layout>
              <c:tx>
                <c:rich>
                  <a:bodyPr/>
                  <a:lstStyle/>
                  <a:p>
                    <a:pPr>
                      <a:defRPr sz="1000" b="1">
                        <a:solidFill>
                          <a:srgbClr val="A31F34"/>
                        </a:solidFill>
                      </a:defRPr>
                    </a:pPr>
                    <a:fld id="{D8B06E82-FDDD-4345-A0FB-F5B5906EE692}"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0037-4B79-8937-DB4E7257BBA2}"/>
                </c:ext>
              </c:extLst>
            </c:dLbl>
            <c:dLbl>
              <c:idx val="4"/>
              <c:layout>
                <c:manualLayout>
                  <c:x val="0"/>
                  <c:y val="-0.06"/>
                </c:manualLayout>
              </c:layout>
              <c:tx>
                <c:rich>
                  <a:bodyPr/>
                  <a:lstStyle/>
                  <a:p>
                    <a:pPr>
                      <a:defRPr sz="1000" b="1">
                        <a:solidFill>
                          <a:srgbClr val="A31F34"/>
                        </a:solidFill>
                      </a:defRPr>
                    </a:pPr>
                    <a:fld id="{97FCC0C8-E662-4264-B726-5B9784B535A8}"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0037-4B79-8937-DB4E7257BBA2}"/>
                </c:ext>
              </c:extLst>
            </c:dLbl>
            <c:dLbl>
              <c:idx val="5"/>
              <c:layout>
                <c:manualLayout>
                  <c:x val="0"/>
                  <c:y val="-0.06"/>
                </c:manualLayout>
              </c:layout>
              <c:tx>
                <c:rich>
                  <a:bodyPr/>
                  <a:lstStyle/>
                  <a:p>
                    <a:pPr>
                      <a:defRPr sz="1000" b="1">
                        <a:solidFill>
                          <a:srgbClr val="A31F34"/>
                        </a:solidFill>
                      </a:defRPr>
                    </a:pPr>
                    <a:fld id="{2FDAF440-FFC0-4FC3-87B0-242AD5610E2C}"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0037-4B79-8937-DB4E7257BBA2}"/>
                </c:ext>
              </c:extLst>
            </c:dLbl>
            <c:dLbl>
              <c:idx val="6"/>
              <c:layout>
                <c:manualLayout>
                  <c:x val="0"/>
                  <c:y val="-0.06"/>
                </c:manualLayout>
              </c:layout>
              <c:tx>
                <c:rich>
                  <a:bodyPr/>
                  <a:lstStyle/>
                  <a:p>
                    <a:pPr>
                      <a:defRPr sz="1000" b="1">
                        <a:solidFill>
                          <a:srgbClr val="A31F34"/>
                        </a:solidFill>
                      </a:defRPr>
                    </a:pPr>
                    <a:fld id="{6C318D75-750A-4914-9E2D-71BB757A3C0F}"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0037-4B79-8937-DB4E7257BBA2}"/>
                </c:ext>
              </c:extLst>
            </c:dLbl>
            <c:dLbl>
              <c:idx val="7"/>
              <c:layout>
                <c:manualLayout>
                  <c:x val="0"/>
                  <c:y val="-0.06"/>
                </c:manualLayout>
              </c:layout>
              <c:tx>
                <c:rich>
                  <a:bodyPr/>
                  <a:lstStyle/>
                  <a:p>
                    <a:pPr>
                      <a:defRPr sz="1000" b="1">
                        <a:solidFill>
                          <a:srgbClr val="A31F34"/>
                        </a:solidFill>
                      </a:defRPr>
                    </a:pPr>
                    <a:fld id="{11DC0DBA-413D-4BD3-A1A6-6BF39A3494F1}"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0037-4B79-8937-DB4E7257BBA2}"/>
                </c:ext>
              </c:extLst>
            </c:dLbl>
            <c:dLbl>
              <c:idx val="8"/>
              <c:layout>
                <c:manualLayout>
                  <c:x val="0"/>
                  <c:y val="-0.06"/>
                </c:manualLayout>
              </c:layout>
              <c:tx>
                <c:rich>
                  <a:bodyPr/>
                  <a:lstStyle/>
                  <a:p>
                    <a:pPr>
                      <a:defRPr sz="1000" b="1">
                        <a:solidFill>
                          <a:srgbClr val="A31F34"/>
                        </a:solidFill>
                      </a:defRPr>
                    </a:pPr>
                    <a:fld id="{2216E20E-285F-4BF3-88E7-B3C8E26EF3D6}"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0037-4B79-8937-DB4E7257BBA2}"/>
                </c:ext>
              </c:extLst>
            </c:dLbl>
            <c:dLbl>
              <c:idx val="9"/>
              <c:layout>
                <c:manualLayout>
                  <c:x val="0"/>
                  <c:y val="-0.06"/>
                </c:manualLayout>
              </c:layout>
              <c:tx>
                <c:rich>
                  <a:bodyPr/>
                  <a:lstStyle/>
                  <a:p>
                    <a:pPr>
                      <a:defRPr sz="1000" b="1">
                        <a:solidFill>
                          <a:srgbClr val="A31F34"/>
                        </a:solidFill>
                      </a:defRPr>
                    </a:pPr>
                    <a:fld id="{533C198B-D379-46EB-91C1-FB900C9A7111}"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0037-4B79-8937-DB4E7257BBA2}"/>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Market'!$L$4:$L$13</c:f>
              <c:numCache>
                <c:formatCode>#,##0</c:formatCode>
                <c:ptCount val="10"/>
                <c:pt idx="0">
                  <c:v>220.040897295609</c:v>
                </c:pt>
                <c:pt idx="1">
                  <c:v>242.51223719954487</c:v>
                </c:pt>
                <c:pt idx="2">
                  <c:v>261.80505663995257</c:v>
                </c:pt>
                <c:pt idx="3">
                  <c:v>294.05084777518709</c:v>
                </c:pt>
                <c:pt idx="4">
                  <c:v>329.12111813183537</c:v>
                </c:pt>
                <c:pt idx="5">
                  <c:v>366.81705929992688</c:v>
                </c:pt>
                <c:pt idx="6">
                  <c:v>430.6319914214626</c:v>
                </c:pt>
                <c:pt idx="7">
                  <c:v>477.85231806603326</c:v>
                </c:pt>
                <c:pt idx="8">
                  <c:v>523.54656140024451</c:v>
                </c:pt>
                <c:pt idx="9">
                  <c:v>580.76577935402781</c:v>
                </c:pt>
              </c:numCache>
            </c:numRef>
          </c:val>
          <c:extLst>
            <c:ext xmlns:c15="http://schemas.microsoft.com/office/drawing/2012/chart" uri="{02D57815-91ED-43cb-92C2-25804820EDAC}">
              <c15:datalabelsRange>
                <c15:f>'Composite vs Market'!$AE$4:$AE$13</c15:f>
                <c15:dlblRangeCache>
                  <c:ptCount val="10"/>
                  <c:pt idx="1">
                    <c:v>+10%</c:v>
                  </c:pt>
                  <c:pt idx="2">
                    <c:v>+8%</c:v>
                  </c:pt>
                  <c:pt idx="3">
                    <c:v>+12%</c:v>
                  </c:pt>
                  <c:pt idx="4">
                    <c:v>+12%</c:v>
                  </c:pt>
                  <c:pt idx="5">
                    <c:v>+11%</c:v>
                  </c:pt>
                  <c:pt idx="6">
                    <c:v>+17%</c:v>
                  </c:pt>
                  <c:pt idx="7">
                    <c:v>+11%</c:v>
                  </c:pt>
                  <c:pt idx="8">
                    <c:v>+10%</c:v>
                  </c:pt>
                  <c:pt idx="9">
                    <c:v>+11%</c:v>
                  </c:pt>
                </c15:dlblRangeCache>
              </c15:datalabelsRange>
            </c:ext>
            <c:ext xmlns:c16="http://schemas.microsoft.com/office/drawing/2014/chart" uri="{C3380CC4-5D6E-409C-BE32-E72D297353CC}">
              <c16:uniqueId val="{00000013-0037-4B79-8937-DB4E7257BBA2}"/>
            </c:ext>
          </c:extLst>
        </c:ser>
        <c:ser>
          <c:idx val="1"/>
          <c:order val="1"/>
          <c:tx>
            <c:v>Stabilized TEV less NOI ($M)</c:v>
          </c:tx>
          <c:spPr>
            <a:solidFill>
              <a:srgbClr val="D9D9D9"/>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Market'!$Q$4:$Q$13</c:f>
              <c:numCache>
                <c:formatCode>#,##0</c:formatCode>
                <c:ptCount val="10"/>
                <c:pt idx="0">
                  <c:v>3091.1890150030385</c:v>
                </c:pt>
                <c:pt idx="1">
                  <c:v>3633.1933018221816</c:v>
                </c:pt>
                <c:pt idx="2">
                  <c:v>3721.0765966049612</c:v>
                </c:pt>
                <c:pt idx="3">
                  <c:v>5432.5858187530375</c:v>
                </c:pt>
                <c:pt idx="4">
                  <c:v>5753.4325066054826</c:v>
                </c:pt>
                <c:pt idx="5">
                  <c:v>9321.1470261401373</c:v>
                </c:pt>
                <c:pt idx="6">
                  <c:v>6730.8454437242153</c:v>
                </c:pt>
                <c:pt idx="7">
                  <c:v>8080.4807600378272</c:v>
                </c:pt>
                <c:pt idx="8">
                  <c:v>7460.6800795081181</c:v>
                </c:pt>
                <c:pt idx="9">
                  <c:v>8520.8010108505096</c:v>
                </c:pt>
              </c:numCache>
            </c:numRef>
          </c:val>
          <c:extLst>
            <c:ext xmlns:c16="http://schemas.microsoft.com/office/drawing/2014/chart" uri="{C3380CC4-5D6E-409C-BE32-E72D297353CC}">
              <c16:uniqueId val="{00000014-0037-4B79-8937-DB4E7257BBA2}"/>
            </c:ext>
          </c:extLst>
        </c:ser>
        <c:dLbls>
          <c:showLegendKey val="0"/>
          <c:showVal val="0"/>
          <c:showCatName val="0"/>
          <c:showSerName val="0"/>
          <c:showPercent val="0"/>
          <c:showBubbleSize val="0"/>
        </c:dLbls>
        <c:gapWidth val="150"/>
        <c:overlap val="100"/>
        <c:axId val="42043607"/>
        <c:axId val="49535121"/>
      </c:barChart>
      <c:lineChart>
        <c:grouping val="stacked"/>
        <c:varyColors val="0"/>
        <c:ser>
          <c:idx val="2"/>
          <c:order val="2"/>
          <c:tx>
            <c:v>Gross NOI Multiple (right)</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Market'!$J$4:$J$13</c:f>
              <c:numCache>
                <c:formatCode>0.0\x</c:formatCode>
                <c:ptCount val="10"/>
                <c:pt idx="0">
                  <c:v>15.048247634848762</c:v>
                </c:pt>
                <c:pt idx="1">
                  <c:v>15.981484414053313</c:v>
                </c:pt>
                <c:pt idx="2">
                  <c:v>15.213157852494698</c:v>
                </c:pt>
                <c:pt idx="3">
                  <c:v>19.474987777986119</c:v>
                </c:pt>
                <c:pt idx="4">
                  <c:v>18.481201264942356</c:v>
                </c:pt>
                <c:pt idx="5">
                  <c:v>26.410887497788725</c:v>
                </c:pt>
                <c:pt idx="6">
                  <c:v>16.630156555500051</c:v>
                </c:pt>
                <c:pt idx="7">
                  <c:v>17.90999594339355</c:v>
                </c:pt>
                <c:pt idx="8">
                  <c:v>15.250270423998689</c:v>
                </c:pt>
                <c:pt idx="9">
                  <c:v>15.671665090749659</c:v>
                </c:pt>
              </c:numCache>
            </c:numRef>
          </c:val>
          <c:smooth val="0"/>
          <c:extLst>
            <c:ext xmlns:c16="http://schemas.microsoft.com/office/drawing/2014/chart" uri="{C3380CC4-5D6E-409C-BE32-E72D297353CC}">
              <c16:uniqueId val="{00000015-0037-4B79-8937-DB4E7257BBA2}"/>
            </c:ext>
          </c:extLst>
        </c:ser>
        <c:dLbls>
          <c:showLegendKey val="0"/>
          <c:showVal val="0"/>
          <c:showCatName val="0"/>
          <c:showSerName val="0"/>
          <c:showPercent val="0"/>
          <c:showBubbleSize val="0"/>
        </c:dLbls>
        <c:hiLowLines>
          <c:spPr>
            <a:ln w="0">
              <a:noFill/>
            </a:ln>
          </c:spPr>
        </c:hiLowLines>
        <c:marker val="1"/>
        <c:smooth val="0"/>
        <c:axId val="70026887"/>
        <c:axId val="54446152"/>
      </c:lineChart>
      <c:catAx>
        <c:axId val="42043607"/>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49535121"/>
        <c:crosses val="autoZero"/>
        <c:auto val="1"/>
        <c:lblAlgn val="ctr"/>
        <c:lblOffset val="100"/>
        <c:noMultiLvlLbl val="0"/>
      </c:catAx>
      <c:valAx>
        <c:axId val="49535121"/>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2043607"/>
        <c:crosses val="autoZero"/>
        <c:crossBetween val="between"/>
      </c:valAx>
      <c:catAx>
        <c:axId val="70026887"/>
        <c:scaling>
          <c:orientation val="minMax"/>
        </c:scaling>
        <c:delete val="1"/>
        <c:axPos val="b"/>
        <c:numFmt formatCode="General" sourceLinked="1"/>
        <c:majorTickMark val="none"/>
        <c:minorTickMark val="none"/>
        <c:tickLblPos val="nextTo"/>
        <c:crossAx val="54446152"/>
        <c:crosses val="autoZero"/>
        <c:auto val="1"/>
        <c:lblAlgn val="ctr"/>
        <c:lblOffset val="100"/>
        <c:noMultiLvlLbl val="0"/>
      </c:catAx>
      <c:valAx>
        <c:axId val="54446152"/>
        <c:scaling>
          <c:orientation val="minMax"/>
        </c:scaling>
        <c:delete val="0"/>
        <c:axPos val="r"/>
        <c:numFmt formatCode="0.0\x"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0026887"/>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9.0036093910394396E-2"/>
          <c:y val="0.20016937408576499"/>
          <c:w val="0.81956356170734102"/>
          <c:h val="0.55962737701131704"/>
        </c:manualLayout>
      </c:layout>
      <c:barChart>
        <c:barDir val="col"/>
        <c:grouping val="stacked"/>
        <c:varyColors val="0"/>
        <c:ser>
          <c:idx val="0"/>
          <c:order val="0"/>
          <c:tx>
            <c:v>Leveraged Property Cash Flow ($M)</c:v>
          </c:tx>
          <c:spPr>
            <a:solidFill>
              <a:srgbClr val="A31F34"/>
            </a:solidFill>
            <a:ln w="0">
              <a:noFill/>
            </a:ln>
          </c:spPr>
          <c:invertIfNegative val="0"/>
          <c:dPt>
            <c:idx val="1"/>
            <c:invertIfNegative val="0"/>
            <c:bubble3D val="0"/>
            <c:spPr>
              <a:solidFill>
                <a:srgbClr val="A31F34"/>
              </a:solidFill>
              <a:ln w="0">
                <a:noFill/>
              </a:ln>
            </c:spPr>
            <c:extLst>
              <c:ext xmlns:c16="http://schemas.microsoft.com/office/drawing/2014/chart" uri="{C3380CC4-5D6E-409C-BE32-E72D297353CC}">
                <c16:uniqueId val="{00000001-2844-4738-9E15-3A9135D44A92}"/>
              </c:ext>
            </c:extLst>
          </c:dPt>
          <c:dPt>
            <c:idx val="2"/>
            <c:invertIfNegative val="0"/>
            <c:bubble3D val="0"/>
            <c:spPr>
              <a:solidFill>
                <a:srgbClr val="A31F34"/>
              </a:solidFill>
              <a:ln w="0">
                <a:noFill/>
              </a:ln>
            </c:spPr>
            <c:extLst>
              <c:ext xmlns:c16="http://schemas.microsoft.com/office/drawing/2014/chart" uri="{C3380CC4-5D6E-409C-BE32-E72D297353CC}">
                <c16:uniqueId val="{00000003-2844-4738-9E15-3A9135D44A92}"/>
              </c:ext>
            </c:extLst>
          </c:dPt>
          <c:dPt>
            <c:idx val="3"/>
            <c:invertIfNegative val="0"/>
            <c:bubble3D val="0"/>
            <c:spPr>
              <a:solidFill>
                <a:srgbClr val="A31F34"/>
              </a:solidFill>
              <a:ln w="0">
                <a:noFill/>
              </a:ln>
            </c:spPr>
            <c:extLst>
              <c:ext xmlns:c16="http://schemas.microsoft.com/office/drawing/2014/chart" uri="{C3380CC4-5D6E-409C-BE32-E72D297353CC}">
                <c16:uniqueId val="{00000005-2844-4738-9E15-3A9135D44A92}"/>
              </c:ext>
            </c:extLst>
          </c:dPt>
          <c:dPt>
            <c:idx val="4"/>
            <c:invertIfNegative val="0"/>
            <c:bubble3D val="0"/>
            <c:spPr>
              <a:solidFill>
                <a:srgbClr val="A31F34"/>
              </a:solidFill>
              <a:ln w="0">
                <a:noFill/>
              </a:ln>
            </c:spPr>
            <c:extLst>
              <c:ext xmlns:c16="http://schemas.microsoft.com/office/drawing/2014/chart" uri="{C3380CC4-5D6E-409C-BE32-E72D297353CC}">
                <c16:uniqueId val="{00000007-2844-4738-9E15-3A9135D44A92}"/>
              </c:ext>
            </c:extLst>
          </c:dPt>
          <c:dPt>
            <c:idx val="5"/>
            <c:invertIfNegative val="0"/>
            <c:bubble3D val="0"/>
            <c:spPr>
              <a:solidFill>
                <a:srgbClr val="A31F34"/>
              </a:solidFill>
              <a:ln w="0">
                <a:noFill/>
              </a:ln>
            </c:spPr>
            <c:extLst>
              <c:ext xmlns:c16="http://schemas.microsoft.com/office/drawing/2014/chart" uri="{C3380CC4-5D6E-409C-BE32-E72D297353CC}">
                <c16:uniqueId val="{00000009-2844-4738-9E15-3A9135D44A92}"/>
              </c:ext>
            </c:extLst>
          </c:dPt>
          <c:dPt>
            <c:idx val="6"/>
            <c:invertIfNegative val="0"/>
            <c:bubble3D val="0"/>
            <c:spPr>
              <a:solidFill>
                <a:srgbClr val="A31F34"/>
              </a:solidFill>
              <a:ln w="0">
                <a:noFill/>
              </a:ln>
            </c:spPr>
            <c:extLst>
              <c:ext xmlns:c16="http://schemas.microsoft.com/office/drawing/2014/chart" uri="{C3380CC4-5D6E-409C-BE32-E72D297353CC}">
                <c16:uniqueId val="{0000000B-2844-4738-9E15-3A9135D44A92}"/>
              </c:ext>
            </c:extLst>
          </c:dPt>
          <c:dPt>
            <c:idx val="7"/>
            <c:invertIfNegative val="0"/>
            <c:bubble3D val="0"/>
            <c:spPr>
              <a:solidFill>
                <a:srgbClr val="A31F34"/>
              </a:solidFill>
              <a:ln w="0">
                <a:noFill/>
              </a:ln>
            </c:spPr>
            <c:extLst>
              <c:ext xmlns:c16="http://schemas.microsoft.com/office/drawing/2014/chart" uri="{C3380CC4-5D6E-409C-BE32-E72D297353CC}">
                <c16:uniqueId val="{0000000D-2844-4738-9E15-3A9135D44A92}"/>
              </c:ext>
            </c:extLst>
          </c:dPt>
          <c:dPt>
            <c:idx val="8"/>
            <c:invertIfNegative val="0"/>
            <c:bubble3D val="0"/>
            <c:spPr>
              <a:solidFill>
                <a:srgbClr val="A31F34"/>
              </a:solidFill>
              <a:ln w="0">
                <a:noFill/>
              </a:ln>
            </c:spPr>
            <c:extLst>
              <c:ext xmlns:c16="http://schemas.microsoft.com/office/drawing/2014/chart" uri="{C3380CC4-5D6E-409C-BE32-E72D297353CC}">
                <c16:uniqueId val="{0000000F-2844-4738-9E15-3A9135D44A92}"/>
              </c:ext>
            </c:extLst>
          </c:dPt>
          <c:dPt>
            <c:idx val="9"/>
            <c:invertIfNegative val="0"/>
            <c:bubble3D val="0"/>
            <c:spPr>
              <a:solidFill>
                <a:srgbClr val="A31F34"/>
              </a:solidFill>
              <a:ln w="0">
                <a:noFill/>
              </a:ln>
            </c:spPr>
            <c:extLst>
              <c:ext xmlns:c16="http://schemas.microsoft.com/office/drawing/2014/chart" uri="{C3380CC4-5D6E-409C-BE32-E72D297353CC}">
                <c16:uniqueId val="{00000011-2844-4738-9E15-3A9135D44A92}"/>
              </c:ext>
            </c:extLst>
          </c:dPt>
          <c:dLbls>
            <c:dLbl>
              <c:idx val="0"/>
              <c:delete val="1"/>
              <c:extLst>
                <c:ext xmlns:c15="http://schemas.microsoft.com/office/drawing/2012/chart" uri="{CE6537A1-D6FC-4f65-9D91-7224C49458BB}"/>
                <c:ext xmlns:c16="http://schemas.microsoft.com/office/drawing/2014/chart" uri="{C3380CC4-5D6E-409C-BE32-E72D297353CC}">
                  <c16:uniqueId val="{00000012-2844-4738-9E15-3A9135D44A92}"/>
                </c:ext>
              </c:extLst>
            </c:dLbl>
            <c:dLbl>
              <c:idx val="1"/>
              <c:layout>
                <c:manualLayout>
                  <c:x val="0"/>
                  <c:y val="-0.06"/>
                </c:manualLayout>
              </c:layout>
              <c:tx>
                <c:rich>
                  <a:bodyPr/>
                  <a:lstStyle/>
                  <a:p>
                    <a:pPr>
                      <a:defRPr sz="1000" b="1">
                        <a:solidFill>
                          <a:srgbClr val="A31F34"/>
                        </a:solidFill>
                      </a:defRPr>
                    </a:pPr>
                    <a:fld id="{41B2B7AB-A2CA-4D5F-9954-BABBF20CE842}"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44-4738-9E15-3A9135D44A92}"/>
                </c:ext>
              </c:extLst>
            </c:dLbl>
            <c:dLbl>
              <c:idx val="2"/>
              <c:layout>
                <c:manualLayout>
                  <c:x val="0"/>
                  <c:y val="-0.06"/>
                </c:manualLayout>
              </c:layout>
              <c:tx>
                <c:rich>
                  <a:bodyPr/>
                  <a:lstStyle/>
                  <a:p>
                    <a:pPr>
                      <a:defRPr sz="1000" b="1">
                        <a:solidFill>
                          <a:srgbClr val="A31F34"/>
                        </a:solidFill>
                      </a:defRPr>
                    </a:pPr>
                    <a:fld id="{61708F63-2EBD-4D87-B787-FDC9B008B655}"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44-4738-9E15-3A9135D44A92}"/>
                </c:ext>
              </c:extLst>
            </c:dLbl>
            <c:dLbl>
              <c:idx val="3"/>
              <c:layout>
                <c:manualLayout>
                  <c:x val="0"/>
                  <c:y val="-0.06"/>
                </c:manualLayout>
              </c:layout>
              <c:tx>
                <c:rich>
                  <a:bodyPr/>
                  <a:lstStyle/>
                  <a:p>
                    <a:pPr>
                      <a:defRPr sz="1000" b="1">
                        <a:solidFill>
                          <a:srgbClr val="A31F34"/>
                        </a:solidFill>
                      </a:defRPr>
                    </a:pPr>
                    <a:fld id="{97059F4F-1FBA-48E6-AC9C-9975FE42E884}"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44-4738-9E15-3A9135D44A92}"/>
                </c:ext>
              </c:extLst>
            </c:dLbl>
            <c:dLbl>
              <c:idx val="4"/>
              <c:layout>
                <c:manualLayout>
                  <c:x val="0"/>
                  <c:y val="-0.06"/>
                </c:manualLayout>
              </c:layout>
              <c:tx>
                <c:rich>
                  <a:bodyPr/>
                  <a:lstStyle/>
                  <a:p>
                    <a:pPr>
                      <a:defRPr sz="1000" b="1">
                        <a:solidFill>
                          <a:srgbClr val="A31F34"/>
                        </a:solidFill>
                      </a:defRPr>
                    </a:pPr>
                    <a:fld id="{16CFDB82-B884-42B0-B0A1-AA290D7D0713}"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44-4738-9E15-3A9135D44A92}"/>
                </c:ext>
              </c:extLst>
            </c:dLbl>
            <c:dLbl>
              <c:idx val="5"/>
              <c:layout>
                <c:manualLayout>
                  <c:x val="0"/>
                  <c:y val="-0.06"/>
                </c:manualLayout>
              </c:layout>
              <c:tx>
                <c:rich>
                  <a:bodyPr/>
                  <a:lstStyle/>
                  <a:p>
                    <a:pPr>
                      <a:defRPr sz="1000" b="1">
                        <a:solidFill>
                          <a:srgbClr val="A31F34"/>
                        </a:solidFill>
                      </a:defRPr>
                    </a:pPr>
                    <a:fld id="{59276148-8365-4C48-A33D-6E1256D7ED81}"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44-4738-9E15-3A9135D44A92}"/>
                </c:ext>
              </c:extLst>
            </c:dLbl>
            <c:dLbl>
              <c:idx val="6"/>
              <c:layout>
                <c:manualLayout>
                  <c:x val="0"/>
                  <c:y val="-0.06"/>
                </c:manualLayout>
              </c:layout>
              <c:tx>
                <c:rich>
                  <a:bodyPr/>
                  <a:lstStyle/>
                  <a:p>
                    <a:pPr>
                      <a:defRPr sz="1000" b="1">
                        <a:solidFill>
                          <a:srgbClr val="A31F34"/>
                        </a:solidFill>
                      </a:defRPr>
                    </a:pPr>
                    <a:fld id="{FA8AA884-CB38-42E5-A94E-B99058510A71}"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44-4738-9E15-3A9135D44A92}"/>
                </c:ext>
              </c:extLst>
            </c:dLbl>
            <c:dLbl>
              <c:idx val="7"/>
              <c:layout>
                <c:manualLayout>
                  <c:x val="0"/>
                  <c:y val="-0.06"/>
                </c:manualLayout>
              </c:layout>
              <c:tx>
                <c:rich>
                  <a:bodyPr/>
                  <a:lstStyle/>
                  <a:p>
                    <a:pPr>
                      <a:defRPr sz="1000" b="1">
                        <a:solidFill>
                          <a:srgbClr val="A31F34"/>
                        </a:solidFill>
                      </a:defRPr>
                    </a:pPr>
                    <a:fld id="{FAE699C6-7FC4-453E-BABC-E63D9DAF8D9C}"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44-4738-9E15-3A9135D44A92}"/>
                </c:ext>
              </c:extLst>
            </c:dLbl>
            <c:dLbl>
              <c:idx val="8"/>
              <c:layout>
                <c:manualLayout>
                  <c:x val="0"/>
                  <c:y val="-0.06"/>
                </c:manualLayout>
              </c:layout>
              <c:tx>
                <c:rich>
                  <a:bodyPr/>
                  <a:lstStyle/>
                  <a:p>
                    <a:pPr>
                      <a:defRPr sz="1000" b="1">
                        <a:solidFill>
                          <a:srgbClr val="A31F34"/>
                        </a:solidFill>
                      </a:defRPr>
                    </a:pPr>
                    <a:fld id="{37A75680-0654-4579-896B-14A1DB823334}"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44-4738-9E15-3A9135D44A92}"/>
                </c:ext>
              </c:extLst>
            </c:dLbl>
            <c:dLbl>
              <c:idx val="9"/>
              <c:layout>
                <c:manualLayout>
                  <c:x val="0"/>
                  <c:y val="-0.06"/>
                </c:manualLayout>
              </c:layout>
              <c:tx>
                <c:rich>
                  <a:bodyPr/>
                  <a:lstStyle/>
                  <a:p>
                    <a:pPr>
                      <a:defRPr sz="1000" b="1">
                        <a:solidFill>
                          <a:srgbClr val="A31F34"/>
                        </a:solidFill>
                      </a:defRPr>
                    </a:pPr>
                    <a:fld id="{98E52618-E417-4BC2-AF8C-3BF621C4B949}"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2844-4738-9E15-3A9135D44A92}"/>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Market'!$N$4:$N$13</c:f>
              <c:numCache>
                <c:formatCode>#,##0</c:formatCode>
                <c:ptCount val="10"/>
                <c:pt idx="0">
                  <c:v>172.88266068798492</c:v>
                </c:pt>
                <c:pt idx="1">
                  <c:v>197.05836304441073</c:v>
                </c:pt>
                <c:pt idx="2">
                  <c:v>216.67839551296566</c:v>
                </c:pt>
                <c:pt idx="3">
                  <c:v>247.32155690543013</c:v>
                </c:pt>
                <c:pt idx="4">
                  <c:v>279.63922124434595</c:v>
                </c:pt>
                <c:pt idx="5">
                  <c:v>319.62689009589428</c:v>
                </c:pt>
                <c:pt idx="6">
                  <c:v>374.67712402627387</c:v>
                </c:pt>
                <c:pt idx="7">
                  <c:v>405.56121403787677</c:v>
                </c:pt>
                <c:pt idx="8">
                  <c:v>445.09357539846587</c:v>
                </c:pt>
                <c:pt idx="9">
                  <c:v>497.81796844398019</c:v>
                </c:pt>
              </c:numCache>
            </c:numRef>
          </c:val>
          <c:extLst>
            <c:ext xmlns:c15="http://schemas.microsoft.com/office/drawing/2012/chart" uri="{02D57815-91ED-43cb-92C2-25804820EDAC}">
              <c15:datalabelsRange>
                <c15:f>'Composite vs Market'!$AF$4:$AF$13</c15:f>
                <c15:dlblRangeCache>
                  <c:ptCount val="10"/>
                  <c:pt idx="1">
                    <c:v>+14%</c:v>
                  </c:pt>
                  <c:pt idx="2">
                    <c:v>+10%</c:v>
                  </c:pt>
                  <c:pt idx="3">
                    <c:v>+14%</c:v>
                  </c:pt>
                  <c:pt idx="4">
                    <c:v>+13%</c:v>
                  </c:pt>
                  <c:pt idx="5">
                    <c:v>+14%</c:v>
                  </c:pt>
                  <c:pt idx="6">
                    <c:v>+17%</c:v>
                  </c:pt>
                  <c:pt idx="7">
                    <c:v>+8%</c:v>
                  </c:pt>
                  <c:pt idx="8">
                    <c:v>+10%</c:v>
                  </c:pt>
                  <c:pt idx="9">
                    <c:v>+12%</c:v>
                  </c:pt>
                </c15:dlblRangeCache>
              </c15:datalabelsRange>
            </c:ext>
            <c:ext xmlns:c16="http://schemas.microsoft.com/office/drawing/2014/chart" uri="{C3380CC4-5D6E-409C-BE32-E72D297353CC}">
              <c16:uniqueId val="{00000013-2844-4738-9E15-3A9135D44A92}"/>
            </c:ext>
          </c:extLst>
        </c:ser>
        <c:ser>
          <c:idx val="1"/>
          <c:order val="1"/>
          <c:tx>
            <c:v>Stabilized Market Cap less Leveraged CF ($M)</c:v>
          </c:tx>
          <c:spPr>
            <a:solidFill>
              <a:srgbClr val="D9D9D9"/>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Market'!$R$4:$R$13</c:f>
              <c:numCache>
                <c:formatCode>#,##0</c:formatCode>
                <c:ptCount val="10"/>
                <c:pt idx="0">
                  <c:v>1915.32575298192</c:v>
                </c:pt>
                <c:pt idx="1">
                  <c:v>2433.167011248358</c:v>
                </c:pt>
                <c:pt idx="2">
                  <c:v>2444.9982386577462</c:v>
                </c:pt>
                <c:pt idx="3">
                  <c:v>4010.7181271501759</c:v>
                </c:pt>
                <c:pt idx="4">
                  <c:v>4236.7893979087276</c:v>
                </c:pt>
                <c:pt idx="5">
                  <c:v>7596.4534470147182</c:v>
                </c:pt>
                <c:pt idx="6">
                  <c:v>4632.7134436895585</c:v>
                </c:pt>
                <c:pt idx="7">
                  <c:v>5979.1598639379799</c:v>
                </c:pt>
                <c:pt idx="8">
                  <c:v>5282.825621890016</c:v>
                </c:pt>
                <c:pt idx="9">
                  <c:v>6129.1011570242763</c:v>
                </c:pt>
              </c:numCache>
            </c:numRef>
          </c:val>
          <c:extLst>
            <c:ext xmlns:c16="http://schemas.microsoft.com/office/drawing/2014/chart" uri="{C3380CC4-5D6E-409C-BE32-E72D297353CC}">
              <c16:uniqueId val="{00000014-2844-4738-9E15-3A9135D44A92}"/>
            </c:ext>
          </c:extLst>
        </c:ser>
        <c:dLbls>
          <c:showLegendKey val="0"/>
          <c:showVal val="0"/>
          <c:showCatName val="0"/>
          <c:showSerName val="0"/>
          <c:showPercent val="0"/>
          <c:showBubbleSize val="0"/>
        </c:dLbls>
        <c:gapWidth val="150"/>
        <c:overlap val="100"/>
        <c:axId val="54530793"/>
        <c:axId val="36482788"/>
      </c:barChart>
      <c:lineChart>
        <c:grouping val="stacked"/>
        <c:varyColors val="0"/>
        <c:ser>
          <c:idx val="2"/>
          <c:order val="2"/>
          <c:tx>
            <c:v>Leveraged NOI Multiple (right)</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'Composite vs Market'!$K$4:$K$13</c:f>
              <c:numCache>
                <c:formatCode>0.0\x</c:formatCode>
                <c:ptCount val="10"/>
                <c:pt idx="0">
                  <c:v>12.078761429051932</c:v>
                </c:pt>
                <c:pt idx="1">
                  <c:v>13.347443537324011</c:v>
                </c:pt>
                <c:pt idx="2">
                  <c:v>12.28399641722214</c:v>
                </c:pt>
                <c:pt idx="3">
                  <c:v>17.216613615625018</c:v>
                </c:pt>
                <c:pt idx="4">
                  <c:v>16.1509125903575</c:v>
                </c:pt>
                <c:pt idx="5">
                  <c:v>24.766628160526903</c:v>
                </c:pt>
                <c:pt idx="6">
                  <c:v>13.36454842480507</c:v>
                </c:pt>
                <c:pt idx="7">
                  <c:v>15.742928211521642</c:v>
                </c:pt>
                <c:pt idx="8">
                  <c:v>12.86902241210877</c:v>
                </c:pt>
                <c:pt idx="9">
                  <c:v>13.311932363915844</c:v>
                </c:pt>
              </c:numCache>
            </c:numRef>
          </c:val>
          <c:smooth val="0"/>
          <c:extLst>
            <c:ext xmlns:c16="http://schemas.microsoft.com/office/drawing/2014/chart" uri="{C3380CC4-5D6E-409C-BE32-E72D297353CC}">
              <c16:uniqueId val="{00000015-2844-4738-9E15-3A9135D44A92}"/>
            </c:ext>
          </c:extLst>
        </c:ser>
        <c:dLbls>
          <c:showLegendKey val="0"/>
          <c:showVal val="0"/>
          <c:showCatName val="0"/>
          <c:showSerName val="0"/>
          <c:showPercent val="0"/>
          <c:showBubbleSize val="0"/>
        </c:dLbls>
        <c:hiLowLines>
          <c:spPr>
            <a:ln w="0">
              <a:noFill/>
            </a:ln>
          </c:spPr>
        </c:hiLowLines>
        <c:marker val="1"/>
        <c:smooth val="0"/>
        <c:axId val="10112541"/>
        <c:axId val="39213160"/>
      </c:lineChart>
      <c:catAx>
        <c:axId val="54530793"/>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36482788"/>
        <c:crosses val="autoZero"/>
        <c:auto val="1"/>
        <c:lblAlgn val="ctr"/>
        <c:lblOffset val="100"/>
        <c:noMultiLvlLbl val="0"/>
      </c:catAx>
      <c:valAx>
        <c:axId val="36482788"/>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4530793"/>
        <c:crosses val="autoZero"/>
        <c:crossBetween val="between"/>
      </c:valAx>
      <c:catAx>
        <c:axId val="10112541"/>
        <c:scaling>
          <c:orientation val="minMax"/>
        </c:scaling>
        <c:delete val="1"/>
        <c:axPos val="b"/>
        <c:numFmt formatCode="General" sourceLinked="1"/>
        <c:majorTickMark val="none"/>
        <c:minorTickMark val="none"/>
        <c:tickLblPos val="nextTo"/>
        <c:crossAx val="39213160"/>
        <c:crosses val="autoZero"/>
        <c:auto val="1"/>
        <c:lblAlgn val="ctr"/>
        <c:lblOffset val="100"/>
        <c:noMultiLvlLbl val="0"/>
      </c:catAx>
      <c:valAx>
        <c:axId val="39213160"/>
        <c:scaling>
          <c:orientation val="minMax"/>
        </c:scaling>
        <c:delete val="0"/>
        <c:axPos val="r"/>
        <c:numFmt formatCode="0.0\x"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0112541"/>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Composite Implied Cap Rate vs. Private Industrial Cap Rates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Composite Implied Cap Rate (public pricing, year-end)</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Market'!$B$4:$B$13</c:f>
              <c:numCache>
                <c:formatCode>0.00%</c:formatCode>
                <c:ptCount val="10"/>
                <c:pt idx="0">
                  <c:v>6.6452920251272182E-2</c:v>
                </c:pt>
                <c:pt idx="1">
                  <c:v>6.2572410302553019E-2</c:v>
                </c:pt>
                <c:pt idx="2">
                  <c:v>6.5732572401857842E-2</c:v>
                </c:pt>
                <c:pt idx="3">
                  <c:v>5.134791412451447E-2</c:v>
                </c:pt>
                <c:pt idx="4">
                  <c:v>5.410903683501004E-2</c:v>
                </c:pt>
                <c:pt idx="5">
                  <c:v>3.7863172908662229E-2</c:v>
                </c:pt>
                <c:pt idx="6">
                  <c:v>6.0131724957770916E-2</c:v>
                </c:pt>
                <c:pt idx="7">
                  <c:v>5.5834741848105746E-2</c:v>
                </c:pt>
                <c:pt idx="8">
                  <c:v>6.5572607711030712E-2</c:v>
                </c:pt>
                <c:pt idx="9">
                  <c:v>6.3809428941297305E-2</c:v>
                </c:pt>
              </c:numCache>
            </c:numRef>
          </c:yVal>
          <c:smooth val="0"/>
          <c:extLst>
            <c:ext xmlns:c16="http://schemas.microsoft.com/office/drawing/2014/chart" uri="{C3380CC4-5D6E-409C-BE32-E72D297353CC}">
              <c16:uniqueId val="{00000000-9678-465F-AC40-D07959CE931B}"/>
            </c:ext>
          </c:extLst>
        </c:ser>
        <c:ser>
          <c:idx val="1"/>
          <c:order val="1"/>
          <c:tx>
            <c:v>Green Street Nominal Cap Rate, 51-Market Wtd Avg (4Q)</c:v>
          </c:tx>
          <c:spPr>
            <a:ln w="28440">
              <a:solidFill>
                <a:srgbClr val="1F3B57"/>
              </a:solidFill>
              <a:round/>
            </a:ln>
          </c:spPr>
          <c:marker>
            <c:symbol val="squar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Market'!$T$4:$T$13</c:f>
              <c:numCache>
                <c:formatCode>0.00%</c:formatCode>
                <c:ptCount val="10"/>
                <c:pt idx="0">
                  <c:v>5.8150930000000003E-2</c:v>
                </c:pt>
                <c:pt idx="1">
                  <c:v>5.5684129999999998E-2</c:v>
                </c:pt>
                <c:pt idx="2">
                  <c:v>5.391642E-2</c:v>
                </c:pt>
                <c:pt idx="3">
                  <c:v>5.0796620000000001E-2</c:v>
                </c:pt>
                <c:pt idx="4">
                  <c:v>4.8337989999999997E-2</c:v>
                </c:pt>
                <c:pt idx="5">
                  <c:v>3.7766719999999997E-2</c:v>
                </c:pt>
                <c:pt idx="6">
                  <c:v>4.6492600000000002E-2</c:v>
                </c:pt>
                <c:pt idx="7">
                  <c:v>5.1572890000000003E-2</c:v>
                </c:pt>
                <c:pt idx="8">
                  <c:v>5.2849069999999998E-2</c:v>
                </c:pt>
                <c:pt idx="9">
                  <c:v>5.4278229999999997E-2</c:v>
                </c:pt>
              </c:numCache>
            </c:numRef>
          </c:yVal>
          <c:smooth val="0"/>
          <c:extLst>
            <c:ext xmlns:c16="http://schemas.microsoft.com/office/drawing/2014/chart" uri="{C3380CC4-5D6E-409C-BE32-E72D297353CC}">
              <c16:uniqueId val="{00000001-9678-465F-AC40-D07959CE931B}"/>
            </c:ext>
          </c:extLst>
        </c:ser>
        <c:ser>
          <c:idx val="2"/>
          <c:order val="2"/>
          <c:tx>
            <c:v>10-Yr UST Yield</c:v>
          </c:tx>
          <c:spPr>
            <a:ln w="28440">
              <a:solidFill>
                <a:srgbClr val="8A8A8A"/>
              </a:solidFill>
              <a:prstDash val="sysDot"/>
              <a:round/>
            </a:ln>
          </c:spPr>
          <c:marker>
            <c:symbol val="dash"/>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Market'!$C$4:$C$13</c:f>
              <c:numCache>
                <c:formatCode>0.00%</c:formatCode>
                <c:ptCount val="10"/>
                <c:pt idx="0">
                  <c:v>2.4500000000000001E-2</c:v>
                </c:pt>
                <c:pt idx="1">
                  <c:v>2.4E-2</c:v>
                </c:pt>
                <c:pt idx="2">
                  <c:v>2.69E-2</c:v>
                </c:pt>
                <c:pt idx="3">
                  <c:v>1.9199999999999998E-2</c:v>
                </c:pt>
                <c:pt idx="4">
                  <c:v>9.300000000000001E-3</c:v>
                </c:pt>
                <c:pt idx="5">
                  <c:v>1.52E-2</c:v>
                </c:pt>
                <c:pt idx="6">
                  <c:v>3.8800000000000001E-2</c:v>
                </c:pt>
                <c:pt idx="7">
                  <c:v>3.8800000000000001E-2</c:v>
                </c:pt>
                <c:pt idx="8">
                  <c:v>4.58E-2</c:v>
                </c:pt>
                <c:pt idx="9">
                  <c:v>4.1799999999999997E-2</c:v>
                </c:pt>
              </c:numCache>
            </c:numRef>
          </c:yVal>
          <c:smooth val="0"/>
          <c:extLst>
            <c:ext xmlns:c16="http://schemas.microsoft.com/office/drawing/2014/chart" uri="{C3380CC4-5D6E-409C-BE32-E72D297353CC}">
              <c16:uniqueId val="{00000002-9678-465F-AC40-D07959CE931B}"/>
            </c:ext>
          </c:extLst>
        </c:ser>
        <c:dLbls>
          <c:showLegendKey val="0"/>
          <c:showVal val="0"/>
          <c:showCatName val="0"/>
          <c:showSerName val="0"/>
          <c:showPercent val="0"/>
          <c:showBubbleSize val="0"/>
        </c:dLbls>
        <c:axId val="51472289"/>
        <c:axId val="64276477"/>
      </c:scatterChart>
      <c:valAx>
        <c:axId val="51472289"/>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64276477"/>
        <c:crosses val="autoZero"/>
        <c:crossBetween val="midCat"/>
        <c:majorUnit val="1"/>
      </c:valAx>
      <c:valAx>
        <c:axId val="64276477"/>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51472289"/>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Industrial Values vs. Construction Costs vs. CPI, Indexed to 2016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Industrial Property Values (Green Street CPPI)</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Market'!$U$4:$U$13</c:f>
              <c:numCache>
                <c:formatCode>0.0</c:formatCode>
                <c:ptCount val="10"/>
                <c:pt idx="0">
                  <c:v>100</c:v>
                </c:pt>
                <c:pt idx="1">
                  <c:v>109.44425857524243</c:v>
                </c:pt>
                <c:pt idx="2">
                  <c:v>121.46241901260227</c:v>
                </c:pt>
                <c:pt idx="3">
                  <c:v>137.28576583568642</c:v>
                </c:pt>
                <c:pt idx="4">
                  <c:v>147.54207586613023</c:v>
                </c:pt>
                <c:pt idx="5">
                  <c:v>208.42060661993727</c:v>
                </c:pt>
                <c:pt idx="6">
                  <c:v>173.4329975271215</c:v>
                </c:pt>
                <c:pt idx="7">
                  <c:v>175.91029434755708</c:v>
                </c:pt>
                <c:pt idx="8">
                  <c:v>176.10718373483448</c:v>
                </c:pt>
                <c:pt idx="9">
                  <c:v>181.30796990700887</c:v>
                </c:pt>
              </c:numCache>
            </c:numRef>
          </c:yVal>
          <c:smooth val="0"/>
          <c:extLst>
            <c:ext xmlns:c16="http://schemas.microsoft.com/office/drawing/2014/chart" uri="{C3380CC4-5D6E-409C-BE32-E72D297353CC}">
              <c16:uniqueId val="{00000000-7558-45A9-BD33-C142A5272B06}"/>
            </c:ext>
          </c:extLst>
        </c:ser>
        <c:ser>
          <c:idx val="1"/>
          <c:order val="1"/>
          <c:tx>
            <c:v>Non-Residential Construction Costs (PPI)</c:v>
          </c:tx>
          <c:spPr>
            <a:ln w="28440">
              <a:solidFill>
                <a:srgbClr val="1F3B57"/>
              </a:solidFill>
              <a:round/>
            </a:ln>
          </c:spPr>
          <c:marker>
            <c:symbol val="squar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Market'!$V$4:$V$13</c:f>
              <c:numCache>
                <c:formatCode>0.0</c:formatCode>
                <c:ptCount val="10"/>
                <c:pt idx="0">
                  <c:v>100</c:v>
                </c:pt>
                <c:pt idx="1">
                  <c:v>102.1961670162606</c:v>
                </c:pt>
                <c:pt idx="2">
                  <c:v>106.49169042112622</c:v>
                </c:pt>
                <c:pt idx="3">
                  <c:v>111.95252693666073</c:v>
                </c:pt>
                <c:pt idx="4">
                  <c:v>114.71611179834704</c:v>
                </c:pt>
                <c:pt idx="5">
                  <c:v>120.67175818856559</c:v>
                </c:pt>
                <c:pt idx="6">
                  <c:v>144.71306405636528</c:v>
                </c:pt>
                <c:pt idx="7">
                  <c:v>156.11789383101166</c:v>
                </c:pt>
                <c:pt idx="8">
                  <c:v>156.28103766650528</c:v>
                </c:pt>
                <c:pt idx="9">
                  <c:v>158.82142024776348</c:v>
                </c:pt>
              </c:numCache>
            </c:numRef>
          </c:yVal>
          <c:smooth val="0"/>
          <c:extLst>
            <c:ext xmlns:c16="http://schemas.microsoft.com/office/drawing/2014/chart" uri="{C3380CC4-5D6E-409C-BE32-E72D297353CC}">
              <c16:uniqueId val="{00000001-7558-45A9-BD33-C142A5272B06}"/>
            </c:ext>
          </c:extLst>
        </c:ser>
        <c:ser>
          <c:idx val="2"/>
          <c:order val="2"/>
          <c:tx>
            <c:v>CPI (All Urban Consumers)</c:v>
          </c:tx>
          <c:spPr>
            <a:ln w="28440">
              <a:solidFill>
                <a:srgbClr val="8A8A8A"/>
              </a:solidFill>
              <a:prstDash val="dash"/>
              <a:round/>
            </a:ln>
          </c:spPr>
          <c:marker>
            <c:symbol val="dash"/>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Market'!$W$4:$W$13</c:f>
              <c:numCache>
                <c:formatCode>0.0</c:formatCode>
                <c:ptCount val="10"/>
                <c:pt idx="0">
                  <c:v>100</c:v>
                </c:pt>
                <c:pt idx="1">
                  <c:v>102.13162225786962</c:v>
                </c:pt>
                <c:pt idx="2">
                  <c:v>104.62282035790922</c:v>
                </c:pt>
                <c:pt idx="3">
                  <c:v>106.51986416949646</c:v>
                </c:pt>
                <c:pt idx="4">
                  <c:v>107.8544196995896</c:v>
                </c:pt>
                <c:pt idx="5">
                  <c:v>112.90306451948919</c:v>
                </c:pt>
                <c:pt idx="6">
                  <c:v>121.92495989666881</c:v>
                </c:pt>
                <c:pt idx="7">
                  <c:v>126.95693839711673</c:v>
                </c:pt>
                <c:pt idx="8">
                  <c:v>130.70477698381282</c:v>
                </c:pt>
                <c:pt idx="9">
                  <c:v>134.14803858252952</c:v>
                </c:pt>
              </c:numCache>
            </c:numRef>
          </c:yVal>
          <c:smooth val="0"/>
          <c:extLst>
            <c:ext xmlns:c16="http://schemas.microsoft.com/office/drawing/2014/chart" uri="{C3380CC4-5D6E-409C-BE32-E72D297353CC}">
              <c16:uniqueId val="{00000002-7558-45A9-BD33-C142A5272B06}"/>
            </c:ext>
          </c:extLst>
        </c:ser>
        <c:dLbls>
          <c:showLegendKey val="0"/>
          <c:showVal val="0"/>
          <c:showCatName val="0"/>
          <c:showSerName val="0"/>
          <c:showPercent val="0"/>
          <c:showBubbleSize val="0"/>
        </c:dLbls>
        <c:axId val="72658049"/>
        <c:axId val="19841527"/>
      </c:scatterChart>
      <c:valAx>
        <c:axId val="72658049"/>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19841527"/>
        <c:crosses val="autoZero"/>
        <c:crossBetween val="midCat"/>
        <c:majorUnit val="1"/>
      </c:valAx>
      <c:valAx>
        <c:axId val="19841527"/>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2658049"/>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Market Asking Rent and Occupancy (2016-2025)
Left axis: CoStar market asking rent, $/SF. Right axis: occupancy (100% less vacancy).</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($/SF, left)</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Market'!$AA$4:$AA$13</c:f>
              <c:numCache>
                <c:formatCode>\$0.00</c:formatCode>
                <c:ptCount val="10"/>
                <c:pt idx="0">
                  <c:v>7.2084040180553197</c:v>
                </c:pt>
                <c:pt idx="1">
                  <c:v>7.6207957627302196</c:v>
                </c:pt>
                <c:pt idx="2">
                  <c:v>8.0585030051050701</c:v>
                </c:pt>
                <c:pt idx="3">
                  <c:v>8.5157481665742498</c:v>
                </c:pt>
                <c:pt idx="4">
                  <c:v>9.0124778657559901</c:v>
                </c:pt>
                <c:pt idx="5">
                  <c:v>9.7576253176282304</c:v>
                </c:pt>
                <c:pt idx="6">
                  <c:v>10.7360950922091</c:v>
                </c:pt>
                <c:pt idx="7">
                  <c:v>11.501830778377499</c:v>
                </c:pt>
                <c:pt idx="8">
                  <c:v>11.911794844842101</c:v>
                </c:pt>
                <c:pt idx="9">
                  <c:v>12.1462063713302</c:v>
                </c:pt>
              </c:numCache>
            </c:numRef>
          </c:yVal>
          <c:smooth val="0"/>
          <c:extLst>
            <c:ext xmlns:c16="http://schemas.microsoft.com/office/drawing/2014/chart" uri="{C3380CC4-5D6E-409C-BE32-E72D297353CC}">
              <c16:uniqueId val="{00000000-0345-47D3-A300-81E10C2C75EA}"/>
            </c:ext>
          </c:extLst>
        </c:ser>
        <c:dLbls>
          <c:showLegendKey val="0"/>
          <c:showVal val="0"/>
          <c:showCatName val="0"/>
          <c:showSerName val="0"/>
          <c:showPercent val="0"/>
          <c:showBubbleSize val="0"/>
        </c:dLbls>
        <c:axId val="11346143"/>
        <c:axId val="2754797"/>
      </c:scatterChart>
      <c:scatterChart>
        <c:scatterStyle val="lineMarker"/>
        <c:varyColors val="0"/>
        <c:ser>
          <c:idx val="1"/>
          <c:order val="1"/>
          <c:tx>
            <c:v>CoStar National Occupancy (right)</c:v>
          </c:tx>
          <c:spPr>
            <a:ln w="28440">
              <a:solidFill>
                <a:srgbClr val="8A8A8A"/>
              </a:solidFill>
              <a:prstDash val="dash"/>
              <a:round/>
            </a:ln>
          </c:spPr>
          <c:marker>
            <c:symbol val="diamond"/>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Market'!$AB$4:$AB$13</c:f>
              <c:numCache>
                <c:formatCode>0.0%</c:formatCode>
                <c:ptCount val="10"/>
                <c:pt idx="0">
                  <c:v>0.94774606694073227</c:v>
                </c:pt>
                <c:pt idx="1">
                  <c:v>0.95035022562934757</c:v>
                </c:pt>
                <c:pt idx="2">
                  <c:v>0.95323320884798135</c:v>
                </c:pt>
                <c:pt idx="3">
                  <c:v>0.94926756615409602</c:v>
                </c:pt>
                <c:pt idx="4">
                  <c:v>0.94546317580134676</c:v>
                </c:pt>
                <c:pt idx="5">
                  <c:v>0.95862050110610841</c:v>
                </c:pt>
                <c:pt idx="6">
                  <c:v>0.96099685761421394</c:v>
                </c:pt>
                <c:pt idx="7">
                  <c:v>0.94347826068344176</c:v>
                </c:pt>
                <c:pt idx="8">
                  <c:v>0.93190964730657366</c:v>
                </c:pt>
                <c:pt idx="9">
                  <c:v>0.92538748823502981</c:v>
                </c:pt>
              </c:numCache>
            </c:numRef>
          </c:yVal>
          <c:smooth val="0"/>
          <c:extLst>
            <c:ext xmlns:c16="http://schemas.microsoft.com/office/drawing/2014/chart" uri="{C3380CC4-5D6E-409C-BE32-E72D297353CC}">
              <c16:uniqueId val="{00000001-0345-47D3-A300-81E10C2C75EA}"/>
            </c:ext>
          </c:extLst>
        </c:ser>
        <c:dLbls>
          <c:showLegendKey val="0"/>
          <c:showVal val="0"/>
          <c:showCatName val="0"/>
          <c:showSerName val="0"/>
          <c:showPercent val="0"/>
          <c:showBubbleSize val="0"/>
        </c:dLbls>
        <c:axId val="16885625"/>
        <c:axId val="34718481"/>
      </c:scatterChart>
      <c:valAx>
        <c:axId val="11346143"/>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2754797"/>
        <c:crosses val="autoZero"/>
        <c:crossBetween val="midCat"/>
        <c:majorUnit val="1"/>
      </c:valAx>
      <c:valAx>
        <c:axId val="2754797"/>
        <c:scaling>
          <c:orientation val="minMax"/>
        </c:scaling>
        <c:delete val="0"/>
        <c:axPos val="l"/>
        <c:majorGridlines>
          <c:spPr>
            <a:ln w="0">
              <a:solidFill>
                <a:srgbClr val="B3B3B3"/>
              </a:solidFill>
            </a:ln>
          </c:spPr>
        </c:majorGridlines>
        <c:numFmt formatCode="\$0.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1346143"/>
        <c:crosses val="autoZero"/>
        <c:crossBetween val="midCat"/>
      </c:valAx>
      <c:valAx>
        <c:axId val="16885625"/>
        <c:scaling>
          <c:orientation val="minMax"/>
        </c:scaling>
        <c:delete val="1"/>
        <c:axPos val="b"/>
        <c:numFmt formatCode="General" sourceLinked="1"/>
        <c:majorTickMark val="none"/>
        <c:minorTickMark val="none"/>
        <c:tickLblPos val="nextTo"/>
        <c:crossAx val="34718481"/>
        <c:crosses val="autoZero"/>
        <c:crossBetween val="midCat"/>
        <c:majorUnit val="1"/>
      </c:valAx>
      <c:valAx>
        <c:axId val="34718481"/>
        <c:scaling>
          <c:orientation val="minMax"/>
        </c:scaling>
        <c:delete val="0"/>
        <c:axPos val="r"/>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6885625"/>
        <c:crosses val="max"/>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800" b="1" strike="noStrike" spc="-1">
                <a:solidFill>
                  <a:srgbClr val="000000"/>
                </a:solidFill>
                <a:latin typeface="Calibri"/>
              </a:defRPr>
            </a:pPr>
            <a:r>
              <a:rPr lang="en-US" sz="1800" b="1" strike="noStrike" spc="-1">
                <a:solidFill>
                  <a:srgbClr val="000000"/>
                </a:solidFill>
                <a:latin typeface="Calibri"/>
              </a:rPr>
              <a:t>EGP: Cap Rate vs. Leveraged Equity Yield (2016-2025)</a:t>
            </a:r>
          </a:p>
        </c:rich>
      </c:tx>
      <c:overlay val="0"/>
      <c:spPr>
        <a:noFill/>
        <a:ln w="0">
          <a:noFill/>
        </a:ln>
      </c:spPr>
    </c:title>
    <c:autoTitleDeleted val="0"/>
    <c:plotArea>
      <c:layout>
        <c:manualLayout>
          <c:layoutTarget val="inner"/>
          <c:xMode val="edge"/>
          <c:yMode val="edge"/>
          <c:x val="0.100036425047187"/>
          <c:y val="0.14011856186003499"/>
          <c:w val="0.79952978575449496"/>
          <c:h val="0.67972900146277604"/>
        </c:manualLayout>
      </c:layout>
      <c:barChart>
        <c:barDir val="col"/>
        <c:grouping val="clustered"/>
        <c:varyColors val="0"/>
        <c:ser>
          <c:idx val="0"/>
          <c:order val="0"/>
          <c:tx>
            <c:strRef>
              <c:f>'EGP vs Market'!$F$3</c:f>
              <c:strCache>
                <c:ptCount val="1"/>
                <c:pt idx="0">
                  <c:v>Leverage Contribution: Lev Yield less Cap Rate (pp)</c:v>
                </c:pt>
              </c:strCache>
            </c:strRef>
          </c:tx>
          <c:spPr>
            <a:solidFill>
              <a:srgbClr val="9DBB9D"/>
            </a:solidFill>
            <a:ln w="0">
              <a:solidFill>
                <a:srgbClr val="7A9A7A"/>
              </a:solid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Market'!$F$4:$F$13</c:f>
              <c:numCache>
                <c:formatCode>0.00%</c:formatCode>
                <c:ptCount val="10"/>
                <c:pt idx="0">
                  <c:v>1.6832051614332946E-2</c:v>
                </c:pt>
                <c:pt idx="1">
                  <c:v>1.0113526944835416E-2</c:v>
                </c:pt>
                <c:pt idx="2">
                  <c:v>9.9005377739004308E-3</c:v>
                </c:pt>
                <c:pt idx="3">
                  <c:v>3.9660555965969485E-3</c:v>
                </c:pt>
                <c:pt idx="4">
                  <c:v>5.1150490831601766E-3</c:v>
                </c:pt>
                <c:pt idx="5">
                  <c:v>1.288639892185816E-3</c:v>
                </c:pt>
                <c:pt idx="6">
                  <c:v>1.0624086106614333E-2</c:v>
                </c:pt>
                <c:pt idx="7">
                  <c:v>3.9895570988049828E-3</c:v>
                </c:pt>
                <c:pt idx="8">
                  <c:v>6.7657997888531246E-3</c:v>
                </c:pt>
                <c:pt idx="9">
                  <c:v>7.4839771629596E-3</c:v>
                </c:pt>
              </c:numCache>
            </c:numRef>
          </c:val>
          <c:extLst>
            <c:ext xmlns:c16="http://schemas.microsoft.com/office/drawing/2014/chart" uri="{C3380CC4-5D6E-409C-BE32-E72D297353CC}">
              <c16:uniqueId val="{00000000-EC3A-41C8-B701-FDB18B67EF90}"/>
            </c:ext>
          </c:extLst>
        </c:ser>
        <c:dLbls>
          <c:showLegendKey val="0"/>
          <c:showVal val="0"/>
          <c:showCatName val="0"/>
          <c:showSerName val="0"/>
          <c:showPercent val="0"/>
          <c:showBubbleSize val="0"/>
        </c:dLbls>
        <c:gapWidth val="80"/>
        <c:axId val="13521222"/>
        <c:axId val="73364098"/>
      </c:barChart>
      <c:lineChart>
        <c:grouping val="standard"/>
        <c:varyColors val="0"/>
        <c:ser>
          <c:idx val="1"/>
          <c:order val="1"/>
          <c:tx>
            <c:strRef>
              <c:f>'EGP vs Market'!$B$3</c:f>
              <c:strCache>
                <c:ptCount val="1"/>
                <c:pt idx="0">
                  <c:v>EGP Stabilized Implied Cap Rate (%)</c:v>
                </c:pt>
              </c:strCache>
            </c:strRef>
          </c:tx>
          <c:spPr>
            <a:ln w="28080">
              <a:solidFill>
                <a:srgbClr val="A31F34"/>
              </a:solidFill>
              <a:round/>
            </a:ln>
          </c:spPr>
          <c:marker>
            <c:symbol val="circle"/>
            <c:size val="6"/>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Market'!$B$4:$B$13</c:f>
              <c:numCache>
                <c:formatCode>0.00%</c:formatCode>
                <c:ptCount val="10"/>
                <c:pt idx="0">
                  <c:v>6.0375817400536352E-2</c:v>
                </c:pt>
                <c:pt idx="1">
                  <c:v>5.4049370482855935E-2</c:v>
                </c:pt>
                <c:pt idx="2">
                  <c:v>5.5956776321807108E-2</c:v>
                </c:pt>
                <c:pt idx="3">
                  <c:v>4.3534308773900882E-2</c:v>
                </c:pt>
                <c:pt idx="4">
                  <c:v>4.3890077645450741E-2</c:v>
                </c:pt>
                <c:pt idx="5">
                  <c:v>3.0108103050230487E-2</c:v>
                </c:pt>
                <c:pt idx="6">
                  <c:v>5.0255340753243123E-2</c:v>
                </c:pt>
                <c:pt idx="7">
                  <c:v>4.6048614158506473E-2</c:v>
                </c:pt>
                <c:pt idx="8">
                  <c:v>5.6305207782372121E-2</c:v>
                </c:pt>
                <c:pt idx="9">
                  <c:v>5.579826247565866E-2</c:v>
                </c:pt>
              </c:numCache>
            </c:numRef>
          </c:val>
          <c:smooth val="0"/>
          <c:extLst>
            <c:ext xmlns:c16="http://schemas.microsoft.com/office/drawing/2014/chart" uri="{C3380CC4-5D6E-409C-BE32-E72D297353CC}">
              <c16:uniqueId val="{00000001-EC3A-41C8-B701-FDB18B67EF90}"/>
            </c:ext>
          </c:extLst>
        </c:ser>
        <c:ser>
          <c:idx val="2"/>
          <c:order val="2"/>
          <c:tx>
            <c:strRef>
              <c:f>'EGP vs Market'!$E$3</c:f>
              <c:strCache>
                <c:ptCount val="1"/>
                <c:pt idx="0">
                  <c:v>EGP Stabilized Leveraged Equity Yield (%)</c:v>
                </c:pt>
              </c:strCache>
            </c:strRef>
          </c:tx>
          <c:spPr>
            <a:ln w="28080">
              <a:solidFill>
                <a:srgbClr val="3A3A3A"/>
              </a:solidFill>
              <a:round/>
            </a:ln>
          </c:spPr>
          <c:marker>
            <c:symbol val="circle"/>
            <c:size val="6"/>
            <c:spPr>
              <a:solidFill>
                <a:srgbClr val="3A3A3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Market'!$E$4:$E$13</c:f>
              <c:numCache>
                <c:formatCode>0.00%</c:formatCode>
                <c:ptCount val="10"/>
                <c:pt idx="0">
                  <c:v>7.7207869014869299E-2</c:v>
                </c:pt>
                <c:pt idx="1">
                  <c:v>6.4162897427691351E-2</c:v>
                </c:pt>
                <c:pt idx="2">
                  <c:v>6.5857314095707539E-2</c:v>
                </c:pt>
                <c:pt idx="3">
                  <c:v>4.750036437049783E-2</c:v>
                </c:pt>
                <c:pt idx="4">
                  <c:v>4.9005126728610918E-2</c:v>
                </c:pt>
                <c:pt idx="5">
                  <c:v>3.1396742942416303E-2</c:v>
                </c:pt>
                <c:pt idx="6">
                  <c:v>6.0879426859857456E-2</c:v>
                </c:pt>
                <c:pt idx="7">
                  <c:v>5.0038171257311456E-2</c:v>
                </c:pt>
                <c:pt idx="8">
                  <c:v>6.3071007571225246E-2</c:v>
                </c:pt>
                <c:pt idx="9">
                  <c:v>6.328223963861826E-2</c:v>
                </c:pt>
              </c:numCache>
            </c:numRef>
          </c:val>
          <c:smooth val="0"/>
          <c:extLst>
            <c:ext xmlns:c16="http://schemas.microsoft.com/office/drawing/2014/chart" uri="{C3380CC4-5D6E-409C-BE32-E72D297353CC}">
              <c16:uniqueId val="{00000002-EC3A-41C8-B701-FDB18B67EF90}"/>
            </c:ext>
          </c:extLst>
        </c:ser>
        <c:dLbls>
          <c:showLegendKey val="0"/>
          <c:showVal val="0"/>
          <c:showCatName val="0"/>
          <c:showSerName val="0"/>
          <c:showPercent val="0"/>
          <c:showBubbleSize val="0"/>
        </c:dLbls>
        <c:hiLowLines>
          <c:spPr>
            <a:ln w="0">
              <a:noFill/>
            </a:ln>
          </c:spPr>
        </c:hiLowLines>
        <c:marker val="1"/>
        <c:smooth val="0"/>
        <c:axId val="67158480"/>
        <c:axId val="92678953"/>
      </c:lineChart>
      <c:catAx>
        <c:axId val="13521222"/>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73364098"/>
        <c:crosses val="autoZero"/>
        <c:auto val="1"/>
        <c:lblAlgn val="ctr"/>
        <c:lblOffset val="100"/>
        <c:noMultiLvlLbl val="0"/>
      </c:catAx>
      <c:valAx>
        <c:axId val="73364098"/>
        <c:scaling>
          <c:orientation val="minMax"/>
        </c:scaling>
        <c:delete val="0"/>
        <c:axPos val="l"/>
        <c:majorGridlines>
          <c:spPr>
            <a:ln w="0">
              <a:solidFill>
                <a:srgbClr val="B3B3B3"/>
              </a:solidFill>
            </a:ln>
          </c:spPr>
        </c:majorGridlines>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Leverage contribution (pct pts)</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13521222"/>
        <c:crosses val="autoZero"/>
        <c:crossBetween val="between"/>
      </c:valAx>
      <c:catAx>
        <c:axId val="67158480"/>
        <c:scaling>
          <c:orientation val="minMax"/>
        </c:scaling>
        <c:delete val="1"/>
        <c:axPos val="b"/>
        <c:numFmt formatCode="General" sourceLinked="1"/>
        <c:majorTickMark val="none"/>
        <c:minorTickMark val="none"/>
        <c:tickLblPos val="nextTo"/>
        <c:crossAx val="92678953"/>
        <c:crosses val="autoZero"/>
        <c:auto val="1"/>
        <c:lblAlgn val="ctr"/>
        <c:lblOffset val="100"/>
        <c:noMultiLvlLbl val="0"/>
      </c:catAx>
      <c:valAx>
        <c:axId val="92678953"/>
        <c:scaling>
          <c:orientation val="minMax"/>
        </c:scaling>
        <c:delete val="0"/>
        <c:axPos val="r"/>
        <c:title>
          <c:tx>
            <c:rich>
              <a:bodyPr rot="-5400000"/>
              <a:lstStyle/>
              <a:p>
                <a:pPr>
                  <a:defRPr lang="en-US" sz="1000" b="1" strike="noStrike" spc="-1">
                    <a:solidFill>
                      <a:srgbClr val="000000"/>
                    </a:solidFill>
                    <a:latin typeface="Calibri"/>
                  </a:defRPr>
                </a:pPr>
                <a:r>
                  <a:rPr lang="en-US" sz="1000" b="1" strike="noStrike" spc="-1">
                    <a:solidFill>
                      <a:srgbClr val="000000"/>
                    </a:solidFill>
                    <a:latin typeface="Calibri"/>
                  </a:rPr>
                  <a:t>Yield (%)</a:t>
                </a:r>
              </a:p>
            </c:rich>
          </c:tx>
          <c:overlay val="0"/>
          <c:spPr>
            <a:noFill/>
            <a:ln w="0">
              <a:noFill/>
            </a:ln>
          </c:spPr>
        </c:title>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7158480"/>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Asking Rent and Market-RevPAF (Indexed, 2016 = 100) and Vacancy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CoStar Market Asking Rent (2016 = 100)</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Market'!$X$4:$X$13</c:f>
              <c:numCache>
                <c:formatCode>0.0</c:formatCode>
                <c:ptCount val="10"/>
                <c:pt idx="0">
                  <c:v>100</c:v>
                </c:pt>
                <c:pt idx="1">
                  <c:v>105.72098544479414</c:v>
                </c:pt>
                <c:pt idx="2">
                  <c:v>111.79316510174037</c:v>
                </c:pt>
                <c:pt idx="3">
                  <c:v>118.13638837729331</c:v>
                </c:pt>
                <c:pt idx="4">
                  <c:v>125.02736865444692</c:v>
                </c:pt>
                <c:pt idx="5">
                  <c:v>135.36457297881367</c:v>
                </c:pt>
                <c:pt idx="6">
                  <c:v>148.93858703421395</c:v>
                </c:pt>
                <c:pt idx="7">
                  <c:v>159.56140568103808</c:v>
                </c:pt>
                <c:pt idx="8">
                  <c:v>165.24871268322249</c:v>
                </c:pt>
                <c:pt idx="9">
                  <c:v>168.50063260753521</c:v>
                </c:pt>
              </c:numCache>
            </c:numRef>
          </c:yVal>
          <c:smooth val="0"/>
          <c:extLst>
            <c:ext xmlns:c16="http://schemas.microsoft.com/office/drawing/2014/chart" uri="{C3380CC4-5D6E-409C-BE32-E72D297353CC}">
              <c16:uniqueId val="{00000000-477C-4BB7-B7D1-4501D38121D8}"/>
            </c:ext>
          </c:extLst>
        </c:ser>
        <c:ser>
          <c:idx val="1"/>
          <c:order val="1"/>
          <c:tx>
            <c:v>Green Street Market-RevPAF (2016 = 100)</c:v>
          </c:tx>
          <c:spPr>
            <a:ln w="28440">
              <a:solidFill>
                <a:srgbClr val="A31F34"/>
              </a:solidFill>
              <a:round/>
            </a:ln>
          </c:spPr>
          <c:marker>
            <c:symbol val="squar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Market'!$AC$4:$AC$13</c:f>
              <c:numCache>
                <c:formatCode>General</c:formatCode>
                <c:ptCount val="10"/>
                <c:pt idx="0">
                  <c:v>100</c:v>
                </c:pt>
                <c:pt idx="1">
                  <c:v>105.616601</c:v>
                </c:pt>
                <c:pt idx="2">
                  <c:v>111.33954847878205</c:v>
                </c:pt>
                <c:pt idx="3">
                  <c:v>117.63658377567846</c:v>
                </c:pt>
                <c:pt idx="4">
                  <c:v>121.31316933222341</c:v>
                </c:pt>
                <c:pt idx="5">
                  <c:v>143.34256968766996</c:v>
                </c:pt>
                <c:pt idx="6">
                  <c:v>180.0410526738425</c:v>
                </c:pt>
                <c:pt idx="7">
                  <c:v>188.32901748236702</c:v>
                </c:pt>
                <c:pt idx="8">
                  <c:v>179.97281001112987</c:v>
                </c:pt>
                <c:pt idx="9">
                  <c:v>173.3807317312083</c:v>
                </c:pt>
              </c:numCache>
            </c:numRef>
          </c:yVal>
          <c:smooth val="0"/>
          <c:extLst>
            <c:ext xmlns:c16="http://schemas.microsoft.com/office/drawing/2014/chart" uri="{C3380CC4-5D6E-409C-BE32-E72D297353CC}">
              <c16:uniqueId val="{00000001-477C-4BB7-B7D1-4501D38121D8}"/>
            </c:ext>
          </c:extLst>
        </c:ser>
        <c:dLbls>
          <c:showLegendKey val="0"/>
          <c:showVal val="0"/>
          <c:showCatName val="0"/>
          <c:showSerName val="0"/>
          <c:showPercent val="0"/>
          <c:showBubbleSize val="0"/>
        </c:dLbls>
        <c:axId val="63833119"/>
        <c:axId val="34465981"/>
      </c:scatterChart>
      <c:scatterChart>
        <c:scatterStyle val="lineMarker"/>
        <c:varyColors val="0"/>
        <c:ser>
          <c:idx val="2"/>
          <c:order val="2"/>
          <c:tx>
            <c:v>CoStar National Vacancy (%)</c:v>
          </c:tx>
          <c:spPr>
            <a:ln w="28440">
              <a:solidFill>
                <a:srgbClr val="8A8A8A"/>
              </a:solidFill>
              <a:prstDash val="dash"/>
              <a:round/>
            </a:ln>
          </c:spPr>
          <c:marker>
            <c:symbol val="diamond"/>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numRef>
              <c:f>'Composite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'Composite vs Market'!$G$4:$G$13</c:f>
              <c:numCache>
                <c:formatCode>0.00%</c:formatCode>
                <c:ptCount val="10"/>
                <c:pt idx="0">
                  <c:v>5.2253933059267697E-2</c:v>
                </c:pt>
                <c:pt idx="1">
                  <c:v>4.9649774370652398E-2</c:v>
                </c:pt>
                <c:pt idx="2">
                  <c:v>4.6766791152018601E-2</c:v>
                </c:pt>
                <c:pt idx="3">
                  <c:v>5.0732433845904E-2</c:v>
                </c:pt>
                <c:pt idx="4">
                  <c:v>5.45368241986533E-2</c:v>
                </c:pt>
                <c:pt idx="5">
                  <c:v>4.13794988938916E-2</c:v>
                </c:pt>
                <c:pt idx="6">
                  <c:v>3.9003142385786102E-2</c:v>
                </c:pt>
                <c:pt idx="7">
                  <c:v>5.6521739316558198E-2</c:v>
                </c:pt>
                <c:pt idx="8">
                  <c:v>6.8090352693426295E-2</c:v>
                </c:pt>
                <c:pt idx="9">
                  <c:v>7.4612511764970205E-2</c:v>
                </c:pt>
              </c:numCache>
            </c:numRef>
          </c:yVal>
          <c:smooth val="0"/>
          <c:extLst>
            <c:ext xmlns:c16="http://schemas.microsoft.com/office/drawing/2014/chart" uri="{C3380CC4-5D6E-409C-BE32-E72D297353CC}">
              <c16:uniqueId val="{00000002-477C-4BB7-B7D1-4501D38121D8}"/>
            </c:ext>
          </c:extLst>
        </c:ser>
        <c:dLbls>
          <c:showLegendKey val="0"/>
          <c:showVal val="0"/>
          <c:showCatName val="0"/>
          <c:showSerName val="0"/>
          <c:showPercent val="0"/>
          <c:showBubbleSize val="0"/>
        </c:dLbls>
        <c:axId val="7518844"/>
        <c:axId val="62910861"/>
      </c:scatterChart>
      <c:valAx>
        <c:axId val="63833119"/>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34465981"/>
        <c:crosses val="autoZero"/>
        <c:crossBetween val="midCat"/>
        <c:majorUnit val="1"/>
      </c:valAx>
      <c:valAx>
        <c:axId val="34465981"/>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3833119"/>
        <c:crosses val="autoZero"/>
        <c:crossBetween val="midCat"/>
      </c:valAx>
      <c:valAx>
        <c:axId val="7518844"/>
        <c:scaling>
          <c:orientation val="minMax"/>
        </c:scaling>
        <c:delete val="1"/>
        <c:axPos val="b"/>
        <c:numFmt formatCode="General" sourceLinked="1"/>
        <c:majorTickMark val="none"/>
        <c:minorTickMark val="none"/>
        <c:tickLblPos val="nextTo"/>
        <c:crossAx val="62910861"/>
        <c:crosses val="autoZero"/>
        <c:crossBetween val="midCat"/>
        <c:majorUnit val="1"/>
      </c:valAx>
      <c:valAx>
        <c:axId val="62910861"/>
        <c:scaling>
          <c:orientation val="minMax"/>
        </c:scaling>
        <c:delete val="0"/>
        <c:axPos val="r"/>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518844"/>
        <c:crosses val="max"/>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Supply Reduction and Forecast Revenue Recovery (2016-2030): Market-RevPAF Growth
Green Street, 51-market weighted average; dashed segment is the Green Street forecast (2026-2030).</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Market-RevPAF Growth, actual</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'Green Street National'!$A$4:$A$13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'Green Street National'!$C$4:$C$13</c:f>
              <c:numCache>
                <c:formatCode>0.0%</c:formatCode>
                <c:ptCount val="10"/>
                <c:pt idx="0">
                  <c:v>6.7850380000000002E-2</c:v>
                </c:pt>
                <c:pt idx="1">
                  <c:v>5.6166010000000002E-2</c:v>
                </c:pt>
                <c:pt idx="2">
                  <c:v>5.4186060000000001E-2</c:v>
                </c:pt>
                <c:pt idx="3">
                  <c:v>5.6557040000000003E-2</c:v>
                </c:pt>
                <c:pt idx="4">
                  <c:v>3.1253759999999998E-2</c:v>
                </c:pt>
                <c:pt idx="5">
                  <c:v>0.18159117</c:v>
                </c:pt>
                <c:pt idx="6">
                  <c:v>0.25601942999999999</c:v>
                </c:pt>
                <c:pt idx="7">
                  <c:v>4.6033749999999998E-2</c:v>
                </c:pt>
                <c:pt idx="8">
                  <c:v>-4.4370260000000002E-2</c:v>
                </c:pt>
                <c:pt idx="9">
                  <c:v>-3.6628189999999998E-2</c:v>
                </c:pt>
              </c:numCache>
            </c:numRef>
          </c:yVal>
          <c:smooth val="0"/>
          <c:extLst>
            <c:ext xmlns:c16="http://schemas.microsoft.com/office/drawing/2014/chart" uri="{C3380CC4-5D6E-409C-BE32-E72D297353CC}">
              <c16:uniqueId val="{00000000-EEBC-4FF9-B40F-4F467F057D28}"/>
            </c:ext>
          </c:extLst>
        </c:ser>
        <c:ser>
          <c:idx val="1"/>
          <c:order val="1"/>
          <c:tx>
            <c:v>Market-RevPAF Growth, Green Street forecast</c:v>
          </c:tx>
          <c:spPr>
            <a:ln w="28440">
              <a:solidFill>
                <a:srgbClr val="A31F34"/>
              </a:solidFill>
              <a:prstDash val="dash"/>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'Green Street National'!$A$13:$A$18</c:f>
              <c:numCache>
                <c:formatCode>General</c:formatCode>
                <c:ptCount val="6"/>
                <c:pt idx="0">
                  <c:v>2025</c:v>
                </c:pt>
                <c:pt idx="1">
                  <c:v>2026</c:v>
                </c:pt>
                <c:pt idx="2">
                  <c:v>2027</c:v>
                </c:pt>
                <c:pt idx="3">
                  <c:v>2028</c:v>
                </c:pt>
                <c:pt idx="4">
                  <c:v>2029</c:v>
                </c:pt>
                <c:pt idx="5">
                  <c:v>2030</c:v>
                </c:pt>
              </c:numCache>
            </c:numRef>
          </c:xVal>
          <c:yVal>
            <c:numRef>
              <c:f>'Green Street National'!$C$13:$C$18</c:f>
              <c:numCache>
                <c:formatCode>0.0%</c:formatCode>
                <c:ptCount val="6"/>
                <c:pt idx="0">
                  <c:v>-3.6628189999999998E-2</c:v>
                </c:pt>
                <c:pt idx="1">
                  <c:v>1.774707E-2</c:v>
                </c:pt>
                <c:pt idx="2">
                  <c:v>3.4207439999999999E-2</c:v>
                </c:pt>
                <c:pt idx="3">
                  <c:v>2.864914E-2</c:v>
                </c:pt>
                <c:pt idx="4">
                  <c:v>3.008883E-2</c:v>
                </c:pt>
                <c:pt idx="5">
                  <c:v>2.965373E-2</c:v>
                </c:pt>
              </c:numCache>
            </c:numRef>
          </c:yVal>
          <c:smooth val="0"/>
          <c:extLst>
            <c:ext xmlns:c16="http://schemas.microsoft.com/office/drawing/2014/chart" uri="{C3380CC4-5D6E-409C-BE32-E72D297353CC}">
              <c16:uniqueId val="{00000001-EEBC-4FF9-B40F-4F467F057D28}"/>
            </c:ext>
          </c:extLst>
        </c:ser>
        <c:dLbls>
          <c:showLegendKey val="0"/>
          <c:showVal val="0"/>
          <c:showCatName val="0"/>
          <c:showSerName val="0"/>
          <c:showPercent val="0"/>
          <c:showBubbleSize val="0"/>
        </c:dLbls>
        <c:axId val="60586670"/>
        <c:axId val="56652658"/>
      </c:scatterChart>
      <c:valAx>
        <c:axId val="60586670"/>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56652658"/>
        <c:crosses val="autoZero"/>
        <c:crossBetween val="midCat"/>
        <c:majorUnit val="1"/>
      </c:valAx>
      <c:valAx>
        <c:axId val="56652658"/>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0586670"/>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Supply Reduction and Forecast Revenue Recovery (2016-2030): Supply Growth (% of Stock)
Green Street, 51-market weighted average; lighter bars are the Green Street forecast (2026-2030).</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barChart>
        <c:barDir val="col"/>
        <c:grouping val="stacked"/>
        <c:varyColors val="0"/>
        <c:ser>
          <c:idx val="0"/>
          <c:order val="0"/>
          <c:tx>
            <c:v>Supply Growth, actual</c:v>
          </c:tx>
          <c:spPr>
            <a:solidFill>
              <a:srgbClr val="1F3B57"/>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'Green Street National'!$A$4:$A$18</c:f>
              <c:numCache>
                <c:formatCode>General</c:formatCod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numCache>
            </c:numRef>
          </c:cat>
          <c:val>
            <c:numRef>
              <c:f>'Green Street National'!$H$4:$H$18</c:f>
              <c:numCache>
                <c:formatCode>0.0%</c:formatCode>
                <c:ptCount val="15"/>
                <c:pt idx="0">
                  <c:v>1.6958379999999999E-2</c:v>
                </c:pt>
                <c:pt idx="1">
                  <c:v>1.8904939999999999E-2</c:v>
                </c:pt>
                <c:pt idx="2">
                  <c:v>2.0244990000000001E-2</c:v>
                </c:pt>
                <c:pt idx="3">
                  <c:v>2.0379209999999998E-2</c:v>
                </c:pt>
                <c:pt idx="4">
                  <c:v>2.0601000000000001E-2</c:v>
                </c:pt>
                <c:pt idx="5">
                  <c:v>2.1810260000000001E-2</c:v>
                </c:pt>
                <c:pt idx="6">
                  <c:v>2.528859E-2</c:v>
                </c:pt>
                <c:pt idx="7">
                  <c:v>3.5278770000000001E-2</c:v>
                </c:pt>
                <c:pt idx="8">
                  <c:v>2.413096E-2</c:v>
                </c:pt>
                <c:pt idx="9">
                  <c:v>1.702586E-2</c:v>
                </c:pt>
                <c:pt idx="10">
                  <c:v>0</c:v>
                </c:pt>
                <c:pt idx="11">
                  <c:v>0</c:v>
                </c:pt>
                <c:pt idx="12">
                  <c:v>0</c:v>
                </c:pt>
                <c:pt idx="13">
                  <c:v>0</c:v>
                </c:pt>
                <c:pt idx="14">
                  <c:v>0</c:v>
                </c:pt>
              </c:numCache>
            </c:numRef>
          </c:val>
          <c:extLst>
            <c:ext xmlns:c16="http://schemas.microsoft.com/office/drawing/2014/chart" uri="{C3380CC4-5D6E-409C-BE32-E72D297353CC}">
              <c16:uniqueId val="{00000000-87F9-4D32-88AF-D55FC6CFF09D}"/>
            </c:ext>
          </c:extLst>
        </c:ser>
        <c:ser>
          <c:idx val="1"/>
          <c:order val="1"/>
          <c:tx>
            <c:v>Supply Growth, Green Street forecast</c:v>
          </c:tx>
          <c:spPr>
            <a:solidFill>
              <a:srgbClr val="A9BCD1"/>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'Green Street National'!$A$4:$A$18</c:f>
              <c:numCache>
                <c:formatCode>General</c:formatCode>
                <c:ptCount val="15"/>
                <c:pt idx="0">
                  <c:v>2016</c:v>
                </c:pt>
                <c:pt idx="1">
                  <c:v>2017</c:v>
                </c:pt>
                <c:pt idx="2">
                  <c:v>2018</c:v>
                </c:pt>
                <c:pt idx="3">
                  <c:v>2019</c:v>
                </c:pt>
                <c:pt idx="4">
                  <c:v>2020</c:v>
                </c:pt>
                <c:pt idx="5">
                  <c:v>2021</c:v>
                </c:pt>
                <c:pt idx="6">
                  <c:v>2022</c:v>
                </c:pt>
                <c:pt idx="7">
                  <c:v>2023</c:v>
                </c:pt>
                <c:pt idx="8">
                  <c:v>2024</c:v>
                </c:pt>
                <c:pt idx="9">
                  <c:v>2025</c:v>
                </c:pt>
                <c:pt idx="10">
                  <c:v>2026</c:v>
                </c:pt>
                <c:pt idx="11">
                  <c:v>2027</c:v>
                </c:pt>
                <c:pt idx="12">
                  <c:v>2028</c:v>
                </c:pt>
                <c:pt idx="13">
                  <c:v>2029</c:v>
                </c:pt>
                <c:pt idx="14">
                  <c:v>2030</c:v>
                </c:pt>
              </c:numCache>
            </c:numRef>
          </c:cat>
          <c:val>
            <c:numRef>
              <c:f>'Green Street National'!$I$4:$I$18</c:f>
              <c:numCache>
                <c:formatCode>0.0%</c:formatCode>
                <c:ptCount val="15"/>
                <c:pt idx="0">
                  <c:v>0</c:v>
                </c:pt>
                <c:pt idx="1">
                  <c:v>0</c:v>
                </c:pt>
                <c:pt idx="2">
                  <c:v>0</c:v>
                </c:pt>
                <c:pt idx="3">
                  <c:v>0</c:v>
                </c:pt>
                <c:pt idx="4">
                  <c:v>0</c:v>
                </c:pt>
                <c:pt idx="5">
                  <c:v>0</c:v>
                </c:pt>
                <c:pt idx="6">
                  <c:v>0</c:v>
                </c:pt>
                <c:pt idx="7">
                  <c:v>0</c:v>
                </c:pt>
                <c:pt idx="8">
                  <c:v>0</c:v>
                </c:pt>
                <c:pt idx="9">
                  <c:v>0</c:v>
                </c:pt>
                <c:pt idx="10">
                  <c:v>1.187E-2</c:v>
                </c:pt>
                <c:pt idx="11">
                  <c:v>1.4069679999999999E-2</c:v>
                </c:pt>
                <c:pt idx="12">
                  <c:v>2.0159659999999999E-2</c:v>
                </c:pt>
                <c:pt idx="13">
                  <c:v>1.7079710000000001E-2</c:v>
                </c:pt>
                <c:pt idx="14">
                  <c:v>1.6869749999999999E-2</c:v>
                </c:pt>
              </c:numCache>
            </c:numRef>
          </c:val>
          <c:extLst>
            <c:ext xmlns:c16="http://schemas.microsoft.com/office/drawing/2014/chart" uri="{C3380CC4-5D6E-409C-BE32-E72D297353CC}">
              <c16:uniqueId val="{00000001-87F9-4D32-88AF-D55FC6CFF09D}"/>
            </c:ext>
          </c:extLst>
        </c:ser>
        <c:dLbls>
          <c:showLegendKey val="0"/>
          <c:showVal val="0"/>
          <c:showCatName val="0"/>
          <c:showSerName val="0"/>
          <c:showPercent val="0"/>
          <c:showBubbleSize val="0"/>
        </c:dLbls>
        <c:gapWidth val="150"/>
        <c:overlap val="100"/>
        <c:axId val="72610640"/>
        <c:axId val="13167458"/>
      </c:barChart>
      <c:catAx>
        <c:axId val="72610640"/>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13167458"/>
        <c:crosses val="autoZero"/>
        <c:auto val="1"/>
        <c:lblAlgn val="ctr"/>
        <c:lblOffset val="100"/>
        <c:noMultiLvlLbl val="0"/>
      </c:catAx>
      <c:valAx>
        <c:axId val="13167458"/>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2610640"/>
        <c:crosses val="autoZero"/>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Annual NOI (labeled YoY growth) and Stabilized TEV: Gross NOI Multiple (2016-2025)</a:t>
            </a:r>
          </a:p>
        </c:rich>
      </c:tx>
      <c:overlay val="0"/>
      <c:spPr>
        <a:noFill/>
        <a:ln w="0">
          <a:noFill/>
        </a:ln>
      </c:spPr>
    </c:title>
    <c:autoTitleDeleted val="0"/>
    <c:plotArea>
      <c:layout>
        <c:manualLayout>
          <c:layoutTarget val="inner"/>
          <c:xMode val="edge"/>
          <c:yMode val="edge"/>
          <c:x val="9.0036093910394396E-2"/>
          <c:y val="0.20016937408576499"/>
          <c:w val="0.81956356170734102"/>
          <c:h val="0.55962737701131704"/>
        </c:manualLayout>
      </c:layout>
      <c:barChart>
        <c:barDir val="col"/>
        <c:grouping val="stacked"/>
        <c:varyColors val="0"/>
        <c:ser>
          <c:idx val="0"/>
          <c:order val="0"/>
          <c:tx>
            <c:v>Annual NOI ($M)</c:v>
          </c:tx>
          <c:spPr>
            <a:solidFill>
              <a:srgbClr val="A31F34"/>
            </a:solidFill>
            <a:ln w="0">
              <a:noFill/>
            </a:ln>
          </c:spPr>
          <c:invertIfNegative val="0"/>
          <c:dPt>
            <c:idx val="1"/>
            <c:invertIfNegative val="0"/>
            <c:bubble3D val="0"/>
            <c:spPr>
              <a:solidFill>
                <a:srgbClr val="A31F34"/>
              </a:solidFill>
              <a:ln w="0">
                <a:noFill/>
              </a:ln>
            </c:spPr>
            <c:extLst>
              <c:ext xmlns:c16="http://schemas.microsoft.com/office/drawing/2014/chart" uri="{C3380CC4-5D6E-409C-BE32-E72D297353CC}">
                <c16:uniqueId val="{00000001-2DC3-4472-A6DA-7D52B8D1063E}"/>
              </c:ext>
            </c:extLst>
          </c:dPt>
          <c:dPt>
            <c:idx val="2"/>
            <c:invertIfNegative val="0"/>
            <c:bubble3D val="0"/>
            <c:spPr>
              <a:solidFill>
                <a:srgbClr val="A31F34"/>
              </a:solidFill>
              <a:ln w="0">
                <a:noFill/>
              </a:ln>
            </c:spPr>
            <c:extLst>
              <c:ext xmlns:c16="http://schemas.microsoft.com/office/drawing/2014/chart" uri="{C3380CC4-5D6E-409C-BE32-E72D297353CC}">
                <c16:uniqueId val="{00000003-2DC3-4472-A6DA-7D52B8D1063E}"/>
              </c:ext>
            </c:extLst>
          </c:dPt>
          <c:dPt>
            <c:idx val="3"/>
            <c:invertIfNegative val="0"/>
            <c:bubble3D val="0"/>
            <c:spPr>
              <a:solidFill>
                <a:srgbClr val="A31F34"/>
              </a:solidFill>
              <a:ln w="0">
                <a:noFill/>
              </a:ln>
            </c:spPr>
            <c:extLst>
              <c:ext xmlns:c16="http://schemas.microsoft.com/office/drawing/2014/chart" uri="{C3380CC4-5D6E-409C-BE32-E72D297353CC}">
                <c16:uniqueId val="{00000005-2DC3-4472-A6DA-7D52B8D1063E}"/>
              </c:ext>
            </c:extLst>
          </c:dPt>
          <c:dPt>
            <c:idx val="4"/>
            <c:invertIfNegative val="0"/>
            <c:bubble3D val="0"/>
            <c:spPr>
              <a:solidFill>
                <a:srgbClr val="A31F34"/>
              </a:solidFill>
              <a:ln w="0">
                <a:noFill/>
              </a:ln>
            </c:spPr>
            <c:extLst>
              <c:ext xmlns:c16="http://schemas.microsoft.com/office/drawing/2014/chart" uri="{C3380CC4-5D6E-409C-BE32-E72D297353CC}">
                <c16:uniqueId val="{00000007-2DC3-4472-A6DA-7D52B8D1063E}"/>
              </c:ext>
            </c:extLst>
          </c:dPt>
          <c:dPt>
            <c:idx val="5"/>
            <c:invertIfNegative val="0"/>
            <c:bubble3D val="0"/>
            <c:spPr>
              <a:solidFill>
                <a:srgbClr val="A31F34"/>
              </a:solidFill>
              <a:ln w="0">
                <a:noFill/>
              </a:ln>
            </c:spPr>
            <c:extLst>
              <c:ext xmlns:c16="http://schemas.microsoft.com/office/drawing/2014/chart" uri="{C3380CC4-5D6E-409C-BE32-E72D297353CC}">
                <c16:uniqueId val="{00000009-2DC3-4472-A6DA-7D52B8D1063E}"/>
              </c:ext>
            </c:extLst>
          </c:dPt>
          <c:dPt>
            <c:idx val="6"/>
            <c:invertIfNegative val="0"/>
            <c:bubble3D val="0"/>
            <c:spPr>
              <a:solidFill>
                <a:srgbClr val="A31F34"/>
              </a:solidFill>
              <a:ln w="0">
                <a:noFill/>
              </a:ln>
            </c:spPr>
            <c:extLst>
              <c:ext xmlns:c16="http://schemas.microsoft.com/office/drawing/2014/chart" uri="{C3380CC4-5D6E-409C-BE32-E72D297353CC}">
                <c16:uniqueId val="{0000000B-2DC3-4472-A6DA-7D52B8D1063E}"/>
              </c:ext>
            </c:extLst>
          </c:dPt>
          <c:dPt>
            <c:idx val="7"/>
            <c:invertIfNegative val="0"/>
            <c:bubble3D val="0"/>
            <c:spPr>
              <a:solidFill>
                <a:srgbClr val="A31F34"/>
              </a:solidFill>
              <a:ln w="0">
                <a:noFill/>
              </a:ln>
            </c:spPr>
            <c:extLst>
              <c:ext xmlns:c16="http://schemas.microsoft.com/office/drawing/2014/chart" uri="{C3380CC4-5D6E-409C-BE32-E72D297353CC}">
                <c16:uniqueId val="{0000000D-2DC3-4472-A6DA-7D52B8D1063E}"/>
              </c:ext>
            </c:extLst>
          </c:dPt>
          <c:dPt>
            <c:idx val="8"/>
            <c:invertIfNegative val="0"/>
            <c:bubble3D val="0"/>
            <c:spPr>
              <a:solidFill>
                <a:srgbClr val="A31F34"/>
              </a:solidFill>
              <a:ln w="0">
                <a:noFill/>
              </a:ln>
            </c:spPr>
            <c:extLst>
              <c:ext xmlns:c16="http://schemas.microsoft.com/office/drawing/2014/chart" uri="{C3380CC4-5D6E-409C-BE32-E72D297353CC}">
                <c16:uniqueId val="{0000000F-2DC3-4472-A6DA-7D52B8D1063E}"/>
              </c:ext>
            </c:extLst>
          </c:dPt>
          <c:dPt>
            <c:idx val="9"/>
            <c:invertIfNegative val="0"/>
            <c:bubble3D val="0"/>
            <c:spPr>
              <a:solidFill>
                <a:srgbClr val="A31F34"/>
              </a:solidFill>
              <a:ln w="0">
                <a:noFill/>
              </a:ln>
            </c:spPr>
            <c:extLst>
              <c:ext xmlns:c16="http://schemas.microsoft.com/office/drawing/2014/chart" uri="{C3380CC4-5D6E-409C-BE32-E72D297353CC}">
                <c16:uniqueId val="{00000011-2DC3-4472-A6DA-7D52B8D1063E}"/>
              </c:ext>
            </c:extLst>
          </c:dPt>
          <c:dLbls>
            <c:dLbl>
              <c:idx val="0"/>
              <c:delete val="1"/>
              <c:extLst>
                <c:ext xmlns:c15="http://schemas.microsoft.com/office/drawing/2012/chart" uri="{CE6537A1-D6FC-4f65-9D91-7224C49458BB}"/>
                <c:ext xmlns:c16="http://schemas.microsoft.com/office/drawing/2014/chart" uri="{C3380CC4-5D6E-409C-BE32-E72D297353CC}">
                  <c16:uniqueId val="{00000012-2DC3-4472-A6DA-7D52B8D1063E}"/>
                </c:ext>
              </c:extLst>
            </c:dLbl>
            <c:dLbl>
              <c:idx val="1"/>
              <c:layout>
                <c:manualLayout>
                  <c:x val="0"/>
                  <c:y val="-0.06"/>
                </c:manualLayout>
              </c:layout>
              <c:tx>
                <c:rich>
                  <a:bodyPr/>
                  <a:lstStyle/>
                  <a:p>
                    <a:pPr>
                      <a:defRPr sz="1000" b="1">
                        <a:solidFill>
                          <a:srgbClr val="A31F34"/>
                        </a:solidFill>
                      </a:defRPr>
                    </a:pPr>
                    <a:fld id="{26FDDB60-BEB6-4992-8D64-1E188178C494}"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DC3-4472-A6DA-7D52B8D1063E}"/>
                </c:ext>
              </c:extLst>
            </c:dLbl>
            <c:dLbl>
              <c:idx val="2"/>
              <c:layout>
                <c:manualLayout>
                  <c:x val="0"/>
                  <c:y val="-0.06"/>
                </c:manualLayout>
              </c:layout>
              <c:tx>
                <c:rich>
                  <a:bodyPr/>
                  <a:lstStyle/>
                  <a:p>
                    <a:pPr>
                      <a:defRPr sz="1000" b="1">
                        <a:solidFill>
                          <a:srgbClr val="A31F34"/>
                        </a:solidFill>
                      </a:defRPr>
                    </a:pPr>
                    <a:fld id="{9D5F5E29-19BD-46D5-BFC8-165CDB6B8F8B}"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DC3-4472-A6DA-7D52B8D1063E}"/>
                </c:ext>
              </c:extLst>
            </c:dLbl>
            <c:dLbl>
              <c:idx val="3"/>
              <c:layout>
                <c:manualLayout>
                  <c:x val="0"/>
                  <c:y val="-0.06"/>
                </c:manualLayout>
              </c:layout>
              <c:tx>
                <c:rich>
                  <a:bodyPr/>
                  <a:lstStyle/>
                  <a:p>
                    <a:pPr>
                      <a:defRPr sz="1000" b="1">
                        <a:solidFill>
                          <a:srgbClr val="A31F34"/>
                        </a:solidFill>
                      </a:defRPr>
                    </a:pPr>
                    <a:fld id="{20914946-E1E4-4329-8EFF-99709229502A}"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DC3-4472-A6DA-7D52B8D1063E}"/>
                </c:ext>
              </c:extLst>
            </c:dLbl>
            <c:dLbl>
              <c:idx val="4"/>
              <c:layout>
                <c:manualLayout>
                  <c:x val="0"/>
                  <c:y val="-0.06"/>
                </c:manualLayout>
              </c:layout>
              <c:tx>
                <c:rich>
                  <a:bodyPr/>
                  <a:lstStyle/>
                  <a:p>
                    <a:pPr>
                      <a:defRPr sz="1000" b="1">
                        <a:solidFill>
                          <a:srgbClr val="A31F34"/>
                        </a:solidFill>
                      </a:defRPr>
                    </a:pPr>
                    <a:fld id="{F2AE8909-3398-469E-B957-BF29653EDAF0}"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DC3-4472-A6DA-7D52B8D1063E}"/>
                </c:ext>
              </c:extLst>
            </c:dLbl>
            <c:dLbl>
              <c:idx val="5"/>
              <c:layout>
                <c:manualLayout>
                  <c:x val="0"/>
                  <c:y val="-0.06"/>
                </c:manualLayout>
              </c:layout>
              <c:tx>
                <c:rich>
                  <a:bodyPr/>
                  <a:lstStyle/>
                  <a:p>
                    <a:pPr>
                      <a:defRPr sz="1000" b="1">
                        <a:solidFill>
                          <a:srgbClr val="A31F34"/>
                        </a:solidFill>
                      </a:defRPr>
                    </a:pPr>
                    <a:fld id="{0C98593F-FA05-4D7D-BC6C-979615F68BF1}"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DC3-4472-A6DA-7D52B8D1063E}"/>
                </c:ext>
              </c:extLst>
            </c:dLbl>
            <c:dLbl>
              <c:idx val="6"/>
              <c:layout>
                <c:manualLayout>
                  <c:x val="0"/>
                  <c:y val="-0.06"/>
                </c:manualLayout>
              </c:layout>
              <c:tx>
                <c:rich>
                  <a:bodyPr/>
                  <a:lstStyle/>
                  <a:p>
                    <a:pPr>
                      <a:defRPr sz="1000" b="1">
                        <a:solidFill>
                          <a:srgbClr val="A31F34"/>
                        </a:solidFill>
                      </a:defRPr>
                    </a:pPr>
                    <a:fld id="{B59929E4-481B-486C-99D4-FFAC04E88064}"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DC3-4472-A6DA-7D52B8D1063E}"/>
                </c:ext>
              </c:extLst>
            </c:dLbl>
            <c:dLbl>
              <c:idx val="7"/>
              <c:layout>
                <c:manualLayout>
                  <c:x val="0"/>
                  <c:y val="-0.06"/>
                </c:manualLayout>
              </c:layout>
              <c:tx>
                <c:rich>
                  <a:bodyPr/>
                  <a:lstStyle/>
                  <a:p>
                    <a:pPr>
                      <a:defRPr sz="1000" b="1">
                        <a:solidFill>
                          <a:srgbClr val="A31F34"/>
                        </a:solidFill>
                      </a:defRPr>
                    </a:pPr>
                    <a:fld id="{5B547F6B-C332-41A5-BCCD-2074D693DD13}"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DC3-4472-A6DA-7D52B8D1063E}"/>
                </c:ext>
              </c:extLst>
            </c:dLbl>
            <c:dLbl>
              <c:idx val="8"/>
              <c:layout>
                <c:manualLayout>
                  <c:x val="0"/>
                  <c:y val="-0.06"/>
                </c:manualLayout>
              </c:layout>
              <c:tx>
                <c:rich>
                  <a:bodyPr/>
                  <a:lstStyle/>
                  <a:p>
                    <a:pPr>
                      <a:defRPr sz="1000" b="1">
                        <a:solidFill>
                          <a:srgbClr val="A31F34"/>
                        </a:solidFill>
                      </a:defRPr>
                    </a:pPr>
                    <a:fld id="{8879703D-05B5-4324-A9CD-76D1CCA1A16B}"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DC3-4472-A6DA-7D52B8D1063E}"/>
                </c:ext>
              </c:extLst>
            </c:dLbl>
            <c:dLbl>
              <c:idx val="9"/>
              <c:layout>
                <c:manualLayout>
                  <c:x val="0"/>
                  <c:y val="-0.06"/>
                </c:manualLayout>
              </c:layout>
              <c:tx>
                <c:rich>
                  <a:bodyPr/>
                  <a:lstStyle/>
                  <a:p>
                    <a:pPr>
                      <a:defRPr sz="1000" b="1">
                        <a:solidFill>
                          <a:srgbClr val="A31F34"/>
                        </a:solidFill>
                      </a:defRPr>
                    </a:pPr>
                    <a:fld id="{6D0B7CFE-4247-4337-BC5E-79261A728B9C}"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2DC3-4472-A6DA-7D52B8D1063E}"/>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Market'!$L$4:$L$13</c:f>
              <c:numCache>
                <c:formatCode>#,##0</c:formatCode>
                <c:ptCount val="10"/>
                <c:pt idx="0">
                  <c:v>178.697</c:v>
                </c:pt>
                <c:pt idx="1">
                  <c:v>194.18700000000001</c:v>
                </c:pt>
                <c:pt idx="2">
                  <c:v>213.179</c:v>
                </c:pt>
                <c:pt idx="3">
                  <c:v>238.316</c:v>
                </c:pt>
                <c:pt idx="4">
                  <c:v>260.108</c:v>
                </c:pt>
                <c:pt idx="5">
                  <c:v>295.233</c:v>
                </c:pt>
                <c:pt idx="6">
                  <c:v>354.03100000000001</c:v>
                </c:pt>
                <c:pt idx="7">
                  <c:v>413.32100000000003</c:v>
                </c:pt>
                <c:pt idx="8">
                  <c:v>464.995</c:v>
                </c:pt>
                <c:pt idx="9">
                  <c:v>528.34500000000003</c:v>
                </c:pt>
              </c:numCache>
            </c:numRef>
          </c:val>
          <c:extLst>
            <c:ext xmlns:c15="http://schemas.microsoft.com/office/drawing/2012/chart" uri="{02D57815-91ED-43cb-92C2-25804820EDAC}">
              <c15:datalabelsRange>
                <c15:f>'EGP vs Market'!$AE$4:$AE$13</c15:f>
                <c15:dlblRangeCache>
                  <c:ptCount val="10"/>
                  <c:pt idx="1">
                    <c:v>+9%</c:v>
                  </c:pt>
                  <c:pt idx="2">
                    <c:v>+10%</c:v>
                  </c:pt>
                  <c:pt idx="3">
                    <c:v>+12%</c:v>
                  </c:pt>
                  <c:pt idx="4">
                    <c:v>+9%</c:v>
                  </c:pt>
                  <c:pt idx="5">
                    <c:v>+14%</c:v>
                  </c:pt>
                  <c:pt idx="6">
                    <c:v>+20%</c:v>
                  </c:pt>
                  <c:pt idx="7">
                    <c:v>+17%</c:v>
                  </c:pt>
                  <c:pt idx="8">
                    <c:v>+13%</c:v>
                  </c:pt>
                  <c:pt idx="9">
                    <c:v>+14%</c:v>
                  </c:pt>
                </c15:dlblRangeCache>
              </c15:datalabelsRange>
            </c:ext>
            <c:ext xmlns:c16="http://schemas.microsoft.com/office/drawing/2014/chart" uri="{C3380CC4-5D6E-409C-BE32-E72D297353CC}">
              <c16:uniqueId val="{00000013-2DC3-4472-A6DA-7D52B8D1063E}"/>
            </c:ext>
          </c:extLst>
        </c:ser>
        <c:ser>
          <c:idx val="1"/>
          <c:order val="1"/>
          <c:tx>
            <c:v>Stabilized TEV less NOI ($M)</c:v>
          </c:tx>
          <c:spPr>
            <a:solidFill>
              <a:srgbClr val="D9D9D9"/>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Market'!$Q$4:$Q$13</c:f>
              <c:numCache>
                <c:formatCode>#,##0</c:formatCode>
                <c:ptCount val="10"/>
                <c:pt idx="0">
                  <c:v>2781.0476079200002</c:v>
                </c:pt>
                <c:pt idx="1">
                  <c:v>3398.5837994599997</c:v>
                </c:pt>
                <c:pt idx="2">
                  <c:v>3596.5293858800005</c:v>
                </c:pt>
                <c:pt idx="3">
                  <c:v>5235.8951845099991</c:v>
                </c:pt>
                <c:pt idx="4">
                  <c:v>5666.2428736799993</c:v>
                </c:pt>
                <c:pt idx="5">
                  <c:v>9510.5325611000007</c:v>
                </c:pt>
                <c:pt idx="6">
                  <c:v>6690.6133043399996</c:v>
                </c:pt>
                <c:pt idx="7">
                  <c:v>8562.4322892799992</c:v>
                </c:pt>
                <c:pt idx="8">
                  <c:v>7793.4773210199992</c:v>
                </c:pt>
                <c:pt idx="9">
                  <c:v>8940.4982319999999</c:v>
                </c:pt>
              </c:numCache>
            </c:numRef>
          </c:val>
          <c:extLst>
            <c:ext xmlns:c16="http://schemas.microsoft.com/office/drawing/2014/chart" uri="{C3380CC4-5D6E-409C-BE32-E72D297353CC}">
              <c16:uniqueId val="{00000014-2DC3-4472-A6DA-7D52B8D1063E}"/>
            </c:ext>
          </c:extLst>
        </c:ser>
        <c:dLbls>
          <c:showLegendKey val="0"/>
          <c:showVal val="0"/>
          <c:showCatName val="0"/>
          <c:showSerName val="0"/>
          <c:showPercent val="0"/>
          <c:showBubbleSize val="0"/>
        </c:dLbls>
        <c:gapWidth val="150"/>
        <c:overlap val="100"/>
        <c:axId val="36746803"/>
        <c:axId val="5644787"/>
      </c:barChart>
      <c:lineChart>
        <c:grouping val="stacked"/>
        <c:varyColors val="0"/>
        <c:ser>
          <c:idx val="2"/>
          <c:order val="2"/>
          <c:tx>
            <c:v>Gross NOI Multiple (right)</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Market'!$J$4:$J$13</c:f>
              <c:numCache>
                <c:formatCode>0.0\x</c:formatCode>
                <c:ptCount val="10"/>
                <c:pt idx="0">
                  <c:v>16.562922757069231</c:v>
                </c:pt>
                <c:pt idx="1">
                  <c:v>18.501603091144101</c:v>
                </c:pt>
                <c:pt idx="2">
                  <c:v>17.870936564483372</c:v>
                </c:pt>
                <c:pt idx="3">
                  <c:v>22.970388830418432</c:v>
                </c:pt>
                <c:pt idx="4">
                  <c:v>22.784193003214046</c:v>
                </c:pt>
                <c:pt idx="5">
                  <c:v>33.213650103816313</c:v>
                </c:pt>
                <c:pt idx="6">
                  <c:v>19.898382639768833</c:v>
                </c:pt>
                <c:pt idx="7">
                  <c:v>21.716180134278197</c:v>
                </c:pt>
                <c:pt idx="8">
                  <c:v>17.760346500543015</c:v>
                </c:pt>
                <c:pt idx="9">
                  <c:v>17.921705007144951</c:v>
                </c:pt>
              </c:numCache>
            </c:numRef>
          </c:val>
          <c:smooth val="0"/>
          <c:extLst>
            <c:ext xmlns:c16="http://schemas.microsoft.com/office/drawing/2014/chart" uri="{C3380CC4-5D6E-409C-BE32-E72D297353CC}">
              <c16:uniqueId val="{00000015-2DC3-4472-A6DA-7D52B8D1063E}"/>
            </c:ext>
          </c:extLst>
        </c:ser>
        <c:dLbls>
          <c:showLegendKey val="0"/>
          <c:showVal val="0"/>
          <c:showCatName val="0"/>
          <c:showSerName val="0"/>
          <c:showPercent val="0"/>
          <c:showBubbleSize val="0"/>
        </c:dLbls>
        <c:hiLowLines>
          <c:spPr>
            <a:ln w="0">
              <a:noFill/>
            </a:ln>
          </c:spPr>
        </c:hiLowLines>
        <c:marker val="1"/>
        <c:smooth val="0"/>
        <c:axId val="69618392"/>
        <c:axId val="64124970"/>
      </c:lineChart>
      <c:catAx>
        <c:axId val="36746803"/>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5644787"/>
        <c:crosses val="autoZero"/>
        <c:auto val="1"/>
        <c:lblAlgn val="ctr"/>
        <c:lblOffset val="100"/>
        <c:noMultiLvlLbl val="0"/>
      </c:catAx>
      <c:valAx>
        <c:axId val="5644787"/>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36746803"/>
        <c:crosses val="autoZero"/>
        <c:crossBetween val="between"/>
      </c:valAx>
      <c:catAx>
        <c:axId val="69618392"/>
        <c:scaling>
          <c:orientation val="minMax"/>
        </c:scaling>
        <c:delete val="1"/>
        <c:axPos val="b"/>
        <c:numFmt formatCode="General" sourceLinked="1"/>
        <c:majorTickMark val="none"/>
        <c:minorTickMark val="none"/>
        <c:tickLblPos val="nextTo"/>
        <c:crossAx val="64124970"/>
        <c:crosses val="autoZero"/>
        <c:auto val="1"/>
        <c:lblAlgn val="ctr"/>
        <c:lblOffset val="100"/>
        <c:noMultiLvlLbl val="0"/>
      </c:catAx>
      <c:valAx>
        <c:axId val="64124970"/>
        <c:scaling>
          <c:orientation val="minMax"/>
        </c:scaling>
        <c:delete val="0"/>
        <c:axPos val="r"/>
        <c:numFmt formatCode="0.0\x"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9618392"/>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Leveraged Cash Flow (labeled YoY growth) and Stabilized Market Cap: Leveraged NOI Multiple (2016-2025)</a:t>
            </a:r>
          </a:p>
        </c:rich>
      </c:tx>
      <c:overlay val="0"/>
      <c:spPr>
        <a:noFill/>
        <a:ln w="0">
          <a:noFill/>
        </a:ln>
      </c:spPr>
    </c:title>
    <c:autoTitleDeleted val="0"/>
    <c:plotArea>
      <c:layout>
        <c:manualLayout>
          <c:layoutTarget val="inner"/>
          <c:xMode val="edge"/>
          <c:yMode val="edge"/>
          <c:x val="9.0036093910394396E-2"/>
          <c:y val="0.20016937408576499"/>
          <c:w val="0.81956356170734102"/>
          <c:h val="0.55962737701131704"/>
        </c:manualLayout>
      </c:layout>
      <c:barChart>
        <c:barDir val="col"/>
        <c:grouping val="stacked"/>
        <c:varyColors val="0"/>
        <c:ser>
          <c:idx val="0"/>
          <c:order val="0"/>
          <c:tx>
            <c:v>Leveraged Property Cash Flow ($M)</c:v>
          </c:tx>
          <c:spPr>
            <a:solidFill>
              <a:srgbClr val="A31F34"/>
            </a:solidFill>
            <a:ln w="0">
              <a:noFill/>
            </a:ln>
          </c:spPr>
          <c:invertIfNegative val="0"/>
          <c:dPt>
            <c:idx val="1"/>
            <c:invertIfNegative val="0"/>
            <c:bubble3D val="0"/>
            <c:spPr>
              <a:solidFill>
                <a:srgbClr val="A31F34"/>
              </a:solidFill>
              <a:ln w="0">
                <a:noFill/>
              </a:ln>
            </c:spPr>
            <c:extLst>
              <c:ext xmlns:c16="http://schemas.microsoft.com/office/drawing/2014/chart" uri="{C3380CC4-5D6E-409C-BE32-E72D297353CC}">
                <c16:uniqueId val="{00000001-6596-499A-94BF-7846D74618D0}"/>
              </c:ext>
            </c:extLst>
          </c:dPt>
          <c:dPt>
            <c:idx val="2"/>
            <c:invertIfNegative val="0"/>
            <c:bubble3D val="0"/>
            <c:spPr>
              <a:solidFill>
                <a:srgbClr val="A31F34"/>
              </a:solidFill>
              <a:ln w="0">
                <a:noFill/>
              </a:ln>
            </c:spPr>
            <c:extLst>
              <c:ext xmlns:c16="http://schemas.microsoft.com/office/drawing/2014/chart" uri="{C3380CC4-5D6E-409C-BE32-E72D297353CC}">
                <c16:uniqueId val="{00000003-6596-499A-94BF-7846D74618D0}"/>
              </c:ext>
            </c:extLst>
          </c:dPt>
          <c:dPt>
            <c:idx val="3"/>
            <c:invertIfNegative val="0"/>
            <c:bubble3D val="0"/>
            <c:spPr>
              <a:solidFill>
                <a:srgbClr val="A31F34"/>
              </a:solidFill>
              <a:ln w="0">
                <a:noFill/>
              </a:ln>
            </c:spPr>
            <c:extLst>
              <c:ext xmlns:c16="http://schemas.microsoft.com/office/drawing/2014/chart" uri="{C3380CC4-5D6E-409C-BE32-E72D297353CC}">
                <c16:uniqueId val="{00000005-6596-499A-94BF-7846D74618D0}"/>
              </c:ext>
            </c:extLst>
          </c:dPt>
          <c:dPt>
            <c:idx val="4"/>
            <c:invertIfNegative val="0"/>
            <c:bubble3D val="0"/>
            <c:spPr>
              <a:solidFill>
                <a:srgbClr val="A31F34"/>
              </a:solidFill>
              <a:ln w="0">
                <a:noFill/>
              </a:ln>
            </c:spPr>
            <c:extLst>
              <c:ext xmlns:c16="http://schemas.microsoft.com/office/drawing/2014/chart" uri="{C3380CC4-5D6E-409C-BE32-E72D297353CC}">
                <c16:uniqueId val="{00000007-6596-499A-94BF-7846D74618D0}"/>
              </c:ext>
            </c:extLst>
          </c:dPt>
          <c:dPt>
            <c:idx val="5"/>
            <c:invertIfNegative val="0"/>
            <c:bubble3D val="0"/>
            <c:spPr>
              <a:solidFill>
                <a:srgbClr val="A31F34"/>
              </a:solidFill>
              <a:ln w="0">
                <a:noFill/>
              </a:ln>
            </c:spPr>
            <c:extLst>
              <c:ext xmlns:c16="http://schemas.microsoft.com/office/drawing/2014/chart" uri="{C3380CC4-5D6E-409C-BE32-E72D297353CC}">
                <c16:uniqueId val="{00000009-6596-499A-94BF-7846D74618D0}"/>
              </c:ext>
            </c:extLst>
          </c:dPt>
          <c:dPt>
            <c:idx val="6"/>
            <c:invertIfNegative val="0"/>
            <c:bubble3D val="0"/>
            <c:spPr>
              <a:solidFill>
                <a:srgbClr val="A31F34"/>
              </a:solidFill>
              <a:ln w="0">
                <a:noFill/>
              </a:ln>
            </c:spPr>
            <c:extLst>
              <c:ext xmlns:c16="http://schemas.microsoft.com/office/drawing/2014/chart" uri="{C3380CC4-5D6E-409C-BE32-E72D297353CC}">
                <c16:uniqueId val="{0000000B-6596-499A-94BF-7846D74618D0}"/>
              </c:ext>
            </c:extLst>
          </c:dPt>
          <c:dPt>
            <c:idx val="7"/>
            <c:invertIfNegative val="0"/>
            <c:bubble3D val="0"/>
            <c:spPr>
              <a:solidFill>
                <a:srgbClr val="A31F34"/>
              </a:solidFill>
              <a:ln w="0">
                <a:noFill/>
              </a:ln>
            </c:spPr>
            <c:extLst>
              <c:ext xmlns:c16="http://schemas.microsoft.com/office/drawing/2014/chart" uri="{C3380CC4-5D6E-409C-BE32-E72D297353CC}">
                <c16:uniqueId val="{0000000D-6596-499A-94BF-7846D74618D0}"/>
              </c:ext>
            </c:extLst>
          </c:dPt>
          <c:dPt>
            <c:idx val="8"/>
            <c:invertIfNegative val="0"/>
            <c:bubble3D val="0"/>
            <c:spPr>
              <a:solidFill>
                <a:srgbClr val="A31F34"/>
              </a:solidFill>
              <a:ln w="0">
                <a:noFill/>
              </a:ln>
            </c:spPr>
            <c:extLst>
              <c:ext xmlns:c16="http://schemas.microsoft.com/office/drawing/2014/chart" uri="{C3380CC4-5D6E-409C-BE32-E72D297353CC}">
                <c16:uniqueId val="{0000000F-6596-499A-94BF-7846D74618D0}"/>
              </c:ext>
            </c:extLst>
          </c:dPt>
          <c:dPt>
            <c:idx val="9"/>
            <c:invertIfNegative val="0"/>
            <c:bubble3D val="0"/>
            <c:spPr>
              <a:solidFill>
                <a:srgbClr val="A31F34"/>
              </a:solidFill>
              <a:ln w="0">
                <a:noFill/>
              </a:ln>
            </c:spPr>
            <c:extLst>
              <c:ext xmlns:c16="http://schemas.microsoft.com/office/drawing/2014/chart" uri="{C3380CC4-5D6E-409C-BE32-E72D297353CC}">
                <c16:uniqueId val="{00000011-6596-499A-94BF-7846D74618D0}"/>
              </c:ext>
            </c:extLst>
          </c:dPt>
          <c:dLbls>
            <c:dLbl>
              <c:idx val="0"/>
              <c:delete val="1"/>
              <c:extLst>
                <c:ext xmlns:c15="http://schemas.microsoft.com/office/drawing/2012/chart" uri="{CE6537A1-D6FC-4f65-9D91-7224C49458BB}"/>
                <c:ext xmlns:c16="http://schemas.microsoft.com/office/drawing/2014/chart" uri="{C3380CC4-5D6E-409C-BE32-E72D297353CC}">
                  <c16:uniqueId val="{00000012-6596-499A-94BF-7846D74618D0}"/>
                </c:ext>
              </c:extLst>
            </c:dLbl>
            <c:dLbl>
              <c:idx val="1"/>
              <c:layout>
                <c:manualLayout>
                  <c:x val="0"/>
                  <c:y val="-0.06"/>
                </c:manualLayout>
              </c:layout>
              <c:tx>
                <c:rich>
                  <a:bodyPr/>
                  <a:lstStyle/>
                  <a:p>
                    <a:pPr>
                      <a:defRPr sz="1000" b="1">
                        <a:solidFill>
                          <a:srgbClr val="A31F34"/>
                        </a:solidFill>
                      </a:defRPr>
                    </a:pPr>
                    <a:fld id="{4FB4E294-8980-47BA-906E-0D1BAC3BA6C8}"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596-499A-94BF-7846D74618D0}"/>
                </c:ext>
              </c:extLst>
            </c:dLbl>
            <c:dLbl>
              <c:idx val="2"/>
              <c:layout>
                <c:manualLayout>
                  <c:x val="0"/>
                  <c:y val="-0.06"/>
                </c:manualLayout>
              </c:layout>
              <c:tx>
                <c:rich>
                  <a:bodyPr/>
                  <a:lstStyle/>
                  <a:p>
                    <a:pPr>
                      <a:defRPr sz="1000" b="1">
                        <a:solidFill>
                          <a:srgbClr val="A31F34"/>
                        </a:solidFill>
                      </a:defRPr>
                    </a:pPr>
                    <a:fld id="{5CA3094F-D421-4AF7-B7AA-4D9C8234D41C}"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6596-499A-94BF-7846D74618D0}"/>
                </c:ext>
              </c:extLst>
            </c:dLbl>
            <c:dLbl>
              <c:idx val="3"/>
              <c:layout>
                <c:manualLayout>
                  <c:x val="0"/>
                  <c:y val="-0.06"/>
                </c:manualLayout>
              </c:layout>
              <c:tx>
                <c:rich>
                  <a:bodyPr/>
                  <a:lstStyle/>
                  <a:p>
                    <a:pPr>
                      <a:defRPr sz="1000" b="1">
                        <a:solidFill>
                          <a:srgbClr val="A31F34"/>
                        </a:solidFill>
                      </a:defRPr>
                    </a:pPr>
                    <a:fld id="{C09CCBB4-4411-4E27-A78A-EBB6CC06BCE3}"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596-499A-94BF-7846D74618D0}"/>
                </c:ext>
              </c:extLst>
            </c:dLbl>
            <c:dLbl>
              <c:idx val="4"/>
              <c:layout>
                <c:manualLayout>
                  <c:x val="0"/>
                  <c:y val="-0.06"/>
                </c:manualLayout>
              </c:layout>
              <c:tx>
                <c:rich>
                  <a:bodyPr/>
                  <a:lstStyle/>
                  <a:p>
                    <a:pPr>
                      <a:defRPr sz="1000" b="1">
                        <a:solidFill>
                          <a:srgbClr val="A31F34"/>
                        </a:solidFill>
                      </a:defRPr>
                    </a:pPr>
                    <a:fld id="{D6DF1E7B-38BA-40D2-B40C-A6EDE9DC3E8F}"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596-499A-94BF-7846D74618D0}"/>
                </c:ext>
              </c:extLst>
            </c:dLbl>
            <c:dLbl>
              <c:idx val="5"/>
              <c:layout>
                <c:manualLayout>
                  <c:x val="0"/>
                  <c:y val="-0.06"/>
                </c:manualLayout>
              </c:layout>
              <c:tx>
                <c:rich>
                  <a:bodyPr/>
                  <a:lstStyle/>
                  <a:p>
                    <a:pPr>
                      <a:defRPr sz="1000" b="1">
                        <a:solidFill>
                          <a:srgbClr val="A31F34"/>
                        </a:solidFill>
                      </a:defRPr>
                    </a:pPr>
                    <a:fld id="{B18701BF-5B3B-4378-B70A-AECE5EA3D6AC}"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596-499A-94BF-7846D74618D0}"/>
                </c:ext>
              </c:extLst>
            </c:dLbl>
            <c:dLbl>
              <c:idx val="6"/>
              <c:layout>
                <c:manualLayout>
                  <c:x val="0"/>
                  <c:y val="-0.06"/>
                </c:manualLayout>
              </c:layout>
              <c:tx>
                <c:rich>
                  <a:bodyPr/>
                  <a:lstStyle/>
                  <a:p>
                    <a:pPr>
                      <a:defRPr sz="1000" b="1">
                        <a:solidFill>
                          <a:srgbClr val="A31F34"/>
                        </a:solidFill>
                      </a:defRPr>
                    </a:pPr>
                    <a:fld id="{9ED984D8-B38D-4A86-840B-8E556138AD43}"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596-499A-94BF-7846D74618D0}"/>
                </c:ext>
              </c:extLst>
            </c:dLbl>
            <c:dLbl>
              <c:idx val="7"/>
              <c:layout>
                <c:manualLayout>
                  <c:x val="0"/>
                  <c:y val="-0.06"/>
                </c:manualLayout>
              </c:layout>
              <c:tx>
                <c:rich>
                  <a:bodyPr/>
                  <a:lstStyle/>
                  <a:p>
                    <a:pPr>
                      <a:defRPr sz="1000" b="1">
                        <a:solidFill>
                          <a:srgbClr val="A31F34"/>
                        </a:solidFill>
                      </a:defRPr>
                    </a:pPr>
                    <a:fld id="{990D4261-752B-41CA-8953-B4C42AAD3CFA}"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596-499A-94BF-7846D74618D0}"/>
                </c:ext>
              </c:extLst>
            </c:dLbl>
            <c:dLbl>
              <c:idx val="8"/>
              <c:layout>
                <c:manualLayout>
                  <c:x val="0"/>
                  <c:y val="-0.06"/>
                </c:manualLayout>
              </c:layout>
              <c:tx>
                <c:rich>
                  <a:bodyPr/>
                  <a:lstStyle/>
                  <a:p>
                    <a:pPr>
                      <a:defRPr sz="1000" b="1">
                        <a:solidFill>
                          <a:srgbClr val="A31F34"/>
                        </a:solidFill>
                      </a:defRPr>
                    </a:pPr>
                    <a:fld id="{D1A3F5D7-57B8-4288-B64D-92EED3B1137D}"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596-499A-94BF-7846D74618D0}"/>
                </c:ext>
              </c:extLst>
            </c:dLbl>
            <c:dLbl>
              <c:idx val="9"/>
              <c:layout>
                <c:manualLayout>
                  <c:x val="0"/>
                  <c:y val="-0.06"/>
                </c:manualLayout>
              </c:layout>
              <c:tx>
                <c:rich>
                  <a:bodyPr/>
                  <a:lstStyle/>
                  <a:p>
                    <a:pPr>
                      <a:defRPr sz="1000" b="1">
                        <a:solidFill>
                          <a:srgbClr val="A31F34"/>
                        </a:solidFill>
                      </a:defRPr>
                    </a:pPr>
                    <a:fld id="{42770C1E-9766-4E98-8D9C-6A2914C2296D}" type="CELLRANGE">
                      <a:rPr lang="en-US"/>
                      <a:pPr>
                        <a:defRPr sz="1000" b="1">
                          <a:solidFill>
                            <a:srgbClr val="A31F34"/>
                          </a:solidFill>
                        </a:defRPr>
                      </a:pPr>
                      <a:t>[CELLRANGE]</a:t>
                    </a:fld>
                    <a:endParaRPr lang="en-US"/>
                  </a:p>
                </c:rich>
              </c:tx>
              <c:spPr/>
              <c:dLblPos val="inEnd"/>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596-499A-94BF-7846D74618D0}"/>
                </c:ext>
              </c:extLst>
            </c:dLbl>
            <c:spPr>
              <a:noFill/>
              <a:ln>
                <a:noFill/>
              </a:ln>
            </c:spPr>
            <c:txPr>
              <a:bodyPr/>
              <a:lstStyle/>
              <a:p>
                <a:pPr>
                  <a:defRPr sz="1000" b="1">
                    <a:solidFill>
                      <a:srgbClr val="A31F34"/>
                    </a:solidFill>
                  </a:defRPr>
                </a:pPr>
                <a:endParaRPr lang="en-US"/>
              </a:p>
            </c:txPr>
            <c:dLblPos val="inEnd"/>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Market'!$N$4:$N$13</c:f>
              <c:numCache>
                <c:formatCode>#,##0</c:formatCode>
                <c:ptCount val="10"/>
                <c:pt idx="0">
                  <c:v>143.48400000000001</c:v>
                </c:pt>
                <c:pt idx="1">
                  <c:v>159.41200000000001</c:v>
                </c:pt>
                <c:pt idx="2">
                  <c:v>178.07300000000001</c:v>
                </c:pt>
                <c:pt idx="3">
                  <c:v>203.85300000000001</c:v>
                </c:pt>
                <c:pt idx="4">
                  <c:v>226.18100000000001</c:v>
                </c:pt>
                <c:pt idx="5">
                  <c:v>262.28800000000001</c:v>
                </c:pt>
                <c:pt idx="6">
                  <c:v>315.53199999999998</c:v>
                </c:pt>
                <c:pt idx="7">
                  <c:v>365.32500000000005</c:v>
                </c:pt>
                <c:pt idx="8">
                  <c:v>426.03899999999999</c:v>
                </c:pt>
                <c:pt idx="9">
                  <c:v>496.23200000000003</c:v>
                </c:pt>
              </c:numCache>
            </c:numRef>
          </c:val>
          <c:extLst>
            <c:ext xmlns:c15="http://schemas.microsoft.com/office/drawing/2012/chart" uri="{02D57815-91ED-43cb-92C2-25804820EDAC}">
              <c15:datalabelsRange>
                <c15:f>'EGP vs Market'!$AF$4:$AF$13</c15:f>
                <c15:dlblRangeCache>
                  <c:ptCount val="10"/>
                  <c:pt idx="1">
                    <c:v>+11%</c:v>
                  </c:pt>
                  <c:pt idx="2">
                    <c:v>+12%</c:v>
                  </c:pt>
                  <c:pt idx="3">
                    <c:v>+14%</c:v>
                  </c:pt>
                  <c:pt idx="4">
                    <c:v>+11%</c:v>
                  </c:pt>
                  <c:pt idx="5">
                    <c:v>+16%</c:v>
                  </c:pt>
                  <c:pt idx="6">
                    <c:v>+20%</c:v>
                  </c:pt>
                  <c:pt idx="7">
                    <c:v>+16%</c:v>
                  </c:pt>
                  <c:pt idx="8">
                    <c:v>+17%</c:v>
                  </c:pt>
                  <c:pt idx="9">
                    <c:v>+16%</c:v>
                  </c:pt>
                </c15:dlblRangeCache>
              </c15:datalabelsRange>
            </c:ext>
            <c:ext xmlns:c16="http://schemas.microsoft.com/office/drawing/2014/chart" uri="{C3380CC4-5D6E-409C-BE32-E72D297353CC}">
              <c16:uniqueId val="{00000013-6596-499A-94BF-7846D74618D0}"/>
            </c:ext>
          </c:extLst>
        </c:ser>
        <c:ser>
          <c:idx val="1"/>
          <c:order val="1"/>
          <c:tx>
            <c:v>Stabilized Market Cap less Leveraged CF ($M)</c:v>
          </c:tx>
          <c:spPr>
            <a:solidFill>
              <a:srgbClr val="D9D9D9"/>
            </a:solidFill>
            <a:ln w="0">
              <a:noFill/>
            </a:ln>
          </c:spPr>
          <c:invertIfNegative val="0"/>
          <c:dLbls>
            <c:spPr>
              <a:noFill/>
              <a:ln>
                <a:noFill/>
              </a:ln>
              <a:effectLst/>
            </c:spPr>
            <c:txPr>
              <a:bodyPr wrap="square"/>
              <a:lstStyle/>
              <a:p>
                <a:pPr>
                  <a:defRPr sz="1000" b="0" strike="noStrike" spc="-1">
                    <a:solidFill>
                      <a:srgbClr val="000000"/>
                    </a:solidFill>
                    <a:latin typeface="Calibri"/>
                  </a:defRPr>
                </a:pPr>
                <a:endParaRPr lang="en-U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Market'!$R$4:$R$13</c:f>
              <c:numCache>
                <c:formatCode>#,##0</c:formatCode>
                <c:ptCount val="10"/>
                <c:pt idx="0">
                  <c:v>1714.9276079200004</c:v>
                </c:pt>
                <c:pt idx="1">
                  <c:v>2325.0767994600001</c:v>
                </c:pt>
                <c:pt idx="2">
                  <c:v>2525.8483858800005</c:v>
                </c:pt>
                <c:pt idx="3">
                  <c:v>4087.756184509999</c:v>
                </c:pt>
                <c:pt idx="4">
                  <c:v>4389.2748736800004</c:v>
                </c:pt>
                <c:pt idx="5">
                  <c:v>8091.6995611000002</c:v>
                </c:pt>
                <c:pt idx="6">
                  <c:v>4867.3683043399997</c:v>
                </c:pt>
                <c:pt idx="7">
                  <c:v>6935.6012892799999</c:v>
                </c:pt>
                <c:pt idx="8">
                  <c:v>6328.8713210200003</c:v>
                </c:pt>
                <c:pt idx="9">
                  <c:v>7345.3362319999987</c:v>
                </c:pt>
              </c:numCache>
            </c:numRef>
          </c:val>
          <c:extLst>
            <c:ext xmlns:c16="http://schemas.microsoft.com/office/drawing/2014/chart" uri="{C3380CC4-5D6E-409C-BE32-E72D297353CC}">
              <c16:uniqueId val="{00000014-6596-499A-94BF-7846D74618D0}"/>
            </c:ext>
          </c:extLst>
        </c:ser>
        <c:dLbls>
          <c:showLegendKey val="0"/>
          <c:showVal val="0"/>
          <c:showCatName val="0"/>
          <c:showSerName val="0"/>
          <c:showPercent val="0"/>
          <c:showBubbleSize val="0"/>
        </c:dLbls>
        <c:gapWidth val="150"/>
        <c:overlap val="100"/>
        <c:axId val="49817610"/>
        <c:axId val="33233437"/>
      </c:barChart>
      <c:lineChart>
        <c:grouping val="stacked"/>
        <c:varyColors val="0"/>
        <c:ser>
          <c:idx val="2"/>
          <c:order val="2"/>
          <c:tx>
            <c:v>Leveraged NOI Multiple (right)</c:v>
          </c:tx>
          <c:spPr>
            <a:ln w="28440">
              <a:solidFill>
                <a:srgbClr val="1F3B57"/>
              </a:solidFill>
              <a:round/>
            </a:ln>
          </c:spPr>
          <c:marker>
            <c:symbol val="circl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'EGP vs Market'!$K$4:$K$13</c:f>
              <c:numCache>
                <c:formatCode>0.0\x</c:formatCode>
                <c:ptCount val="10"/>
                <c:pt idx="0">
                  <c:v>12.952047670262887</c:v>
                </c:pt>
                <c:pt idx="1">
                  <c:v>15.585331088374776</c:v>
                </c:pt>
                <c:pt idx="2">
                  <c:v>15.184342297147801</c:v>
                </c:pt>
                <c:pt idx="3">
                  <c:v>21.052470086336719</c:v>
                </c:pt>
                <c:pt idx="4">
                  <c:v>20.406028241452642</c:v>
                </c:pt>
                <c:pt idx="5">
                  <c:v>31.85043753850729</c:v>
                </c:pt>
                <c:pt idx="6">
                  <c:v>16.425910222544783</c:v>
                </c:pt>
                <c:pt idx="7">
                  <c:v>19.984743144542527</c:v>
                </c:pt>
                <c:pt idx="8">
                  <c:v>15.855145470297321</c:v>
                </c:pt>
                <c:pt idx="9">
                  <c:v>15.802222009060275</c:v>
                </c:pt>
              </c:numCache>
            </c:numRef>
          </c:val>
          <c:smooth val="0"/>
          <c:extLst>
            <c:ext xmlns:c16="http://schemas.microsoft.com/office/drawing/2014/chart" uri="{C3380CC4-5D6E-409C-BE32-E72D297353CC}">
              <c16:uniqueId val="{00000015-6596-499A-94BF-7846D74618D0}"/>
            </c:ext>
          </c:extLst>
        </c:ser>
        <c:dLbls>
          <c:showLegendKey val="0"/>
          <c:showVal val="0"/>
          <c:showCatName val="0"/>
          <c:showSerName val="0"/>
          <c:showPercent val="0"/>
          <c:showBubbleSize val="0"/>
        </c:dLbls>
        <c:hiLowLines>
          <c:spPr>
            <a:ln w="0">
              <a:noFill/>
            </a:ln>
          </c:spPr>
        </c:hiLowLines>
        <c:marker val="1"/>
        <c:smooth val="0"/>
        <c:axId val="32214695"/>
        <c:axId val="90345290"/>
      </c:lineChart>
      <c:catAx>
        <c:axId val="49817610"/>
        <c:scaling>
          <c:orientation val="minMax"/>
        </c:scaling>
        <c:delete val="0"/>
        <c:axPos val="b"/>
        <c:numFmt formatCode="General"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33233437"/>
        <c:crosses val="autoZero"/>
        <c:auto val="1"/>
        <c:lblAlgn val="ctr"/>
        <c:lblOffset val="100"/>
        <c:noMultiLvlLbl val="0"/>
      </c:catAx>
      <c:valAx>
        <c:axId val="33233437"/>
        <c:scaling>
          <c:orientation val="minMax"/>
          <c:min val="0"/>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9817610"/>
        <c:crosses val="autoZero"/>
        <c:crossBetween val="between"/>
      </c:valAx>
      <c:catAx>
        <c:axId val="32214695"/>
        <c:scaling>
          <c:orientation val="minMax"/>
        </c:scaling>
        <c:delete val="1"/>
        <c:axPos val="b"/>
        <c:numFmt formatCode="General" sourceLinked="1"/>
        <c:majorTickMark val="none"/>
        <c:minorTickMark val="none"/>
        <c:tickLblPos val="nextTo"/>
        <c:crossAx val="90345290"/>
        <c:crosses val="autoZero"/>
        <c:auto val="1"/>
        <c:lblAlgn val="ctr"/>
        <c:lblOffset val="100"/>
        <c:noMultiLvlLbl val="0"/>
      </c:catAx>
      <c:valAx>
        <c:axId val="90345290"/>
        <c:scaling>
          <c:orientation val="minMax"/>
        </c:scaling>
        <c:delete val="0"/>
        <c:axPos val="r"/>
        <c:numFmt formatCode="0.0\x"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32214695"/>
        <c:crosses val="max"/>
        <c:crossBetween val="between"/>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EGP Implied Cap Rate vs. Private Industrial Cap Rates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EGP Implied Cap Rate (public pricing, year-end)</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Market'!$B$4:$B$13</c:f>
              <c:numCache>
                <c:formatCode>0.00%</c:formatCode>
                <c:ptCount val="10"/>
                <c:pt idx="0">
                  <c:v>6.0375817400536352E-2</c:v>
                </c:pt>
                <c:pt idx="1">
                  <c:v>5.4049370482855935E-2</c:v>
                </c:pt>
                <c:pt idx="2">
                  <c:v>5.5956776321807108E-2</c:v>
                </c:pt>
                <c:pt idx="3">
                  <c:v>4.3534308773900882E-2</c:v>
                </c:pt>
                <c:pt idx="4">
                  <c:v>4.3890077645450741E-2</c:v>
                </c:pt>
                <c:pt idx="5">
                  <c:v>3.0108103050230487E-2</c:v>
                </c:pt>
                <c:pt idx="6">
                  <c:v>5.0255340753243123E-2</c:v>
                </c:pt>
                <c:pt idx="7">
                  <c:v>4.6048614158506473E-2</c:v>
                </c:pt>
                <c:pt idx="8">
                  <c:v>5.6305207782372121E-2</c:v>
                </c:pt>
                <c:pt idx="9">
                  <c:v>5.579826247565866E-2</c:v>
                </c:pt>
              </c:numCache>
            </c:numRef>
          </c:yVal>
          <c:smooth val="0"/>
          <c:extLst>
            <c:ext xmlns:c16="http://schemas.microsoft.com/office/drawing/2014/chart" uri="{C3380CC4-5D6E-409C-BE32-E72D297353CC}">
              <c16:uniqueId val="{00000000-E96A-42FE-9B89-B890EF80D835}"/>
            </c:ext>
          </c:extLst>
        </c:ser>
        <c:ser>
          <c:idx val="1"/>
          <c:order val="1"/>
          <c:tx>
            <c:v>Green Street Nominal Cap Rate, 51-Market Wtd Avg (4Q)</c:v>
          </c:tx>
          <c:spPr>
            <a:ln w="28440">
              <a:solidFill>
                <a:srgbClr val="1F3B57"/>
              </a:solidFill>
              <a:round/>
            </a:ln>
          </c:spPr>
          <c:marker>
            <c:symbol val="squar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Market'!$T$4:$T$13</c:f>
              <c:numCache>
                <c:formatCode>0.00%</c:formatCode>
                <c:ptCount val="10"/>
                <c:pt idx="0">
                  <c:v>5.8150930000000003E-2</c:v>
                </c:pt>
                <c:pt idx="1">
                  <c:v>5.5684129999999998E-2</c:v>
                </c:pt>
                <c:pt idx="2">
                  <c:v>5.391642E-2</c:v>
                </c:pt>
                <c:pt idx="3">
                  <c:v>5.0796620000000001E-2</c:v>
                </c:pt>
                <c:pt idx="4">
                  <c:v>4.8337989999999997E-2</c:v>
                </c:pt>
                <c:pt idx="5">
                  <c:v>3.7766719999999997E-2</c:v>
                </c:pt>
                <c:pt idx="6">
                  <c:v>4.6492600000000002E-2</c:v>
                </c:pt>
                <c:pt idx="7">
                  <c:v>5.1572890000000003E-2</c:v>
                </c:pt>
                <c:pt idx="8">
                  <c:v>5.2849069999999998E-2</c:v>
                </c:pt>
                <c:pt idx="9">
                  <c:v>5.4278229999999997E-2</c:v>
                </c:pt>
              </c:numCache>
            </c:numRef>
          </c:yVal>
          <c:smooth val="0"/>
          <c:extLst>
            <c:ext xmlns:c16="http://schemas.microsoft.com/office/drawing/2014/chart" uri="{C3380CC4-5D6E-409C-BE32-E72D297353CC}">
              <c16:uniqueId val="{00000001-E96A-42FE-9B89-B890EF80D835}"/>
            </c:ext>
          </c:extLst>
        </c:ser>
        <c:ser>
          <c:idx val="2"/>
          <c:order val="2"/>
          <c:tx>
            <c:v>10-Yr UST Yield</c:v>
          </c:tx>
          <c:spPr>
            <a:ln w="28440">
              <a:solidFill>
                <a:srgbClr val="8A8A8A"/>
              </a:solidFill>
              <a:prstDash val="sysDot"/>
              <a:round/>
            </a:ln>
          </c:spPr>
          <c:marker>
            <c:symbol val="dash"/>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Market'!$C$4:$C$13</c:f>
              <c:numCache>
                <c:formatCode>0.00%</c:formatCode>
                <c:ptCount val="10"/>
                <c:pt idx="0">
                  <c:v>2.4500000000000001E-2</c:v>
                </c:pt>
                <c:pt idx="1">
                  <c:v>2.4E-2</c:v>
                </c:pt>
                <c:pt idx="2">
                  <c:v>2.69E-2</c:v>
                </c:pt>
                <c:pt idx="3">
                  <c:v>1.9199999999999998E-2</c:v>
                </c:pt>
                <c:pt idx="4">
                  <c:v>9.300000000000001E-3</c:v>
                </c:pt>
                <c:pt idx="5">
                  <c:v>1.52E-2</c:v>
                </c:pt>
                <c:pt idx="6">
                  <c:v>3.8800000000000001E-2</c:v>
                </c:pt>
                <c:pt idx="7">
                  <c:v>3.8800000000000001E-2</c:v>
                </c:pt>
                <c:pt idx="8">
                  <c:v>4.58E-2</c:v>
                </c:pt>
                <c:pt idx="9">
                  <c:v>4.1799999999999997E-2</c:v>
                </c:pt>
              </c:numCache>
            </c:numRef>
          </c:yVal>
          <c:smooth val="0"/>
          <c:extLst>
            <c:ext xmlns:c16="http://schemas.microsoft.com/office/drawing/2014/chart" uri="{C3380CC4-5D6E-409C-BE32-E72D297353CC}">
              <c16:uniqueId val="{00000002-E96A-42FE-9B89-B890EF80D835}"/>
            </c:ext>
          </c:extLst>
        </c:ser>
        <c:dLbls>
          <c:showLegendKey val="0"/>
          <c:showVal val="0"/>
          <c:showCatName val="0"/>
          <c:showSerName val="0"/>
          <c:showPercent val="0"/>
          <c:showBubbleSize val="0"/>
        </c:dLbls>
        <c:axId val="64236394"/>
        <c:axId val="94257559"/>
      </c:scatterChart>
      <c:valAx>
        <c:axId val="64236394"/>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94257559"/>
        <c:crosses val="autoZero"/>
        <c:crossBetween val="midCat"/>
        <c:majorUnit val="1"/>
      </c:valAx>
      <c:valAx>
        <c:axId val="94257559"/>
        <c:scaling>
          <c:orientation val="minMax"/>
        </c:scaling>
        <c:delete val="0"/>
        <c:axPos val="l"/>
        <c:majorGridlines>
          <c:spPr>
            <a:ln w="0">
              <a:solidFill>
                <a:srgbClr val="B3B3B3"/>
              </a:solidFill>
            </a:ln>
          </c:spPr>
        </c:majorGridlines>
        <c:numFmt formatCode="0.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64236394"/>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200" b="1" strike="noStrike" spc="-1">
                <a:solidFill>
                  <a:srgbClr val="000000"/>
                </a:solidFill>
                <a:latin typeface="Calibri"/>
              </a:defRPr>
            </a:pPr>
            <a:r>
              <a:rPr lang="en-US" sz="1200" b="1" strike="noStrike" spc="-1">
                <a:solidFill>
                  <a:srgbClr val="000000"/>
                </a:solidFill>
                <a:latin typeface="Calibri"/>
              </a:rPr>
              <a:t>Industrial Values vs. Construction Costs vs. CPI, Indexed to 2016 (2016-2025)</a:t>
            </a:r>
          </a:p>
        </c:rich>
      </c:tx>
      <c:overlay val="0"/>
      <c:spPr>
        <a:noFill/>
        <a:ln w="0">
          <a:noFill/>
        </a:ln>
      </c:spPr>
    </c:title>
    <c:autoTitleDeleted val="0"/>
    <c:plotArea>
      <c:layout>
        <c:manualLayout>
          <c:layoutTarget val="inner"/>
          <c:xMode val="edge"/>
          <c:yMode val="edge"/>
          <c:x val="0.100036425047187"/>
          <c:y val="0.16013549926861201"/>
          <c:w val="0.79952978575449496"/>
          <c:h val="0.61967818923704698"/>
        </c:manualLayout>
      </c:layout>
      <c:scatterChart>
        <c:scatterStyle val="lineMarker"/>
        <c:varyColors val="0"/>
        <c:ser>
          <c:idx val="0"/>
          <c:order val="0"/>
          <c:tx>
            <c:v>Industrial Property Values (Green Street CPPI)</c:v>
          </c:tx>
          <c:spPr>
            <a:ln w="28440">
              <a:solidFill>
                <a:srgbClr val="A31F34"/>
              </a:solidFill>
              <a:round/>
            </a:ln>
          </c:spPr>
          <c:marker>
            <c:symbol val="circle"/>
            <c:size val="5"/>
            <c:spPr>
              <a:solidFill>
                <a:srgbClr val="A31F34"/>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Market'!$U$4:$U$13</c:f>
              <c:numCache>
                <c:formatCode>0.0</c:formatCode>
                <c:ptCount val="10"/>
                <c:pt idx="0">
                  <c:v>100</c:v>
                </c:pt>
                <c:pt idx="1">
                  <c:v>109.44425857524243</c:v>
                </c:pt>
                <c:pt idx="2">
                  <c:v>121.46241901260227</c:v>
                </c:pt>
                <c:pt idx="3">
                  <c:v>137.28576583568642</c:v>
                </c:pt>
                <c:pt idx="4">
                  <c:v>147.54207586613023</c:v>
                </c:pt>
                <c:pt idx="5">
                  <c:v>208.42060661993727</c:v>
                </c:pt>
                <c:pt idx="6">
                  <c:v>173.4329975271215</c:v>
                </c:pt>
                <c:pt idx="7">
                  <c:v>175.91029434755708</c:v>
                </c:pt>
                <c:pt idx="8">
                  <c:v>176.10718373483448</c:v>
                </c:pt>
                <c:pt idx="9">
                  <c:v>181.30796990700887</c:v>
                </c:pt>
              </c:numCache>
            </c:numRef>
          </c:yVal>
          <c:smooth val="0"/>
          <c:extLst>
            <c:ext xmlns:c16="http://schemas.microsoft.com/office/drawing/2014/chart" uri="{C3380CC4-5D6E-409C-BE32-E72D297353CC}">
              <c16:uniqueId val="{00000000-4D85-4343-9119-D926DB488291}"/>
            </c:ext>
          </c:extLst>
        </c:ser>
        <c:ser>
          <c:idx val="1"/>
          <c:order val="1"/>
          <c:tx>
            <c:v>Non-Residential Construction Costs (PPI)</c:v>
          </c:tx>
          <c:spPr>
            <a:ln w="28440">
              <a:solidFill>
                <a:srgbClr val="1F3B57"/>
              </a:solidFill>
              <a:round/>
            </a:ln>
          </c:spPr>
          <c:marker>
            <c:symbol val="square"/>
            <c:size val="5"/>
            <c:spPr>
              <a:solidFill>
                <a:srgbClr val="1F3B57"/>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Market'!$V$4:$V$13</c:f>
              <c:numCache>
                <c:formatCode>0.0</c:formatCode>
                <c:ptCount val="10"/>
                <c:pt idx="0">
                  <c:v>100</c:v>
                </c:pt>
                <c:pt idx="1">
                  <c:v>102.1961670162606</c:v>
                </c:pt>
                <c:pt idx="2">
                  <c:v>106.49169042112622</c:v>
                </c:pt>
                <c:pt idx="3">
                  <c:v>111.95252693666073</c:v>
                </c:pt>
                <c:pt idx="4">
                  <c:v>114.71611179834704</c:v>
                </c:pt>
                <c:pt idx="5">
                  <c:v>120.67175818856559</c:v>
                </c:pt>
                <c:pt idx="6">
                  <c:v>144.71306405636528</c:v>
                </c:pt>
                <c:pt idx="7">
                  <c:v>156.11789383101166</c:v>
                </c:pt>
                <c:pt idx="8">
                  <c:v>156.28103766650528</c:v>
                </c:pt>
                <c:pt idx="9">
                  <c:v>158.82142024776348</c:v>
                </c:pt>
              </c:numCache>
            </c:numRef>
          </c:yVal>
          <c:smooth val="0"/>
          <c:extLst>
            <c:ext xmlns:c16="http://schemas.microsoft.com/office/drawing/2014/chart" uri="{C3380CC4-5D6E-409C-BE32-E72D297353CC}">
              <c16:uniqueId val="{00000001-4D85-4343-9119-D926DB488291}"/>
            </c:ext>
          </c:extLst>
        </c:ser>
        <c:ser>
          <c:idx val="2"/>
          <c:order val="2"/>
          <c:tx>
            <c:v>CPI (All Urban Consumers)</c:v>
          </c:tx>
          <c:spPr>
            <a:ln w="28440">
              <a:solidFill>
                <a:srgbClr val="8A8A8A"/>
              </a:solidFill>
              <a:prstDash val="dash"/>
              <a:round/>
            </a:ln>
          </c:spPr>
          <c:marker>
            <c:symbol val="dash"/>
            <c:size val="4"/>
            <c:spPr>
              <a:solidFill>
                <a:srgbClr val="8A8A8A"/>
              </a:solidFill>
            </c:spPr>
          </c:marker>
          <c:dLbls>
            <c:spPr>
              <a:noFill/>
              <a:ln>
                <a:noFill/>
              </a:ln>
              <a:effectLst/>
            </c:spPr>
            <c:txPr>
              <a:bodyPr wrap="square"/>
              <a:lstStyle/>
              <a:p>
                <a:pPr>
                  <a:defRPr sz="1000" b="0" strike="noStrike" spc="-1">
                    <a:solidFill>
                      <a:srgbClr val="000000"/>
                    </a:solidFill>
                    <a:latin typeface="Calibri"/>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'EGP vs Market'!$A$4:$A$13</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xVal>
          <c:yVal>
            <c:numRef>
              <c:f>'EGP vs Market'!$W$4:$W$13</c:f>
              <c:numCache>
                <c:formatCode>0.0</c:formatCode>
                <c:ptCount val="10"/>
                <c:pt idx="0">
                  <c:v>100</c:v>
                </c:pt>
                <c:pt idx="1">
                  <c:v>102.13162225786962</c:v>
                </c:pt>
                <c:pt idx="2">
                  <c:v>104.62282035790922</c:v>
                </c:pt>
                <c:pt idx="3">
                  <c:v>106.51986416949646</c:v>
                </c:pt>
                <c:pt idx="4">
                  <c:v>107.8544196995896</c:v>
                </c:pt>
                <c:pt idx="5">
                  <c:v>112.90306451948919</c:v>
                </c:pt>
                <c:pt idx="6">
                  <c:v>121.92495989666881</c:v>
                </c:pt>
                <c:pt idx="7">
                  <c:v>126.95693839711673</c:v>
                </c:pt>
                <c:pt idx="8">
                  <c:v>130.70477698381282</c:v>
                </c:pt>
                <c:pt idx="9">
                  <c:v>134.14803858252952</c:v>
                </c:pt>
              </c:numCache>
            </c:numRef>
          </c:yVal>
          <c:smooth val="0"/>
          <c:extLst>
            <c:ext xmlns:c16="http://schemas.microsoft.com/office/drawing/2014/chart" uri="{C3380CC4-5D6E-409C-BE32-E72D297353CC}">
              <c16:uniqueId val="{00000002-4D85-4343-9119-D926DB488291}"/>
            </c:ext>
          </c:extLst>
        </c:ser>
        <c:dLbls>
          <c:showLegendKey val="0"/>
          <c:showVal val="0"/>
          <c:showCatName val="0"/>
          <c:showSerName val="0"/>
          <c:showPercent val="0"/>
          <c:showBubbleSize val="0"/>
        </c:dLbls>
        <c:axId val="75514349"/>
        <c:axId val="87339924"/>
      </c:scatterChart>
      <c:valAx>
        <c:axId val="75514349"/>
        <c:scaling>
          <c:orientation val="minMax"/>
        </c:scaling>
        <c:delete val="0"/>
        <c:axPos val="b"/>
        <c:numFmt formatCode="0" sourceLinked="0"/>
        <c:majorTickMark val="none"/>
        <c:minorTickMark val="none"/>
        <c:tickLblPos val="low"/>
        <c:spPr>
          <a:ln w="0">
            <a:solidFill>
              <a:srgbClr val="B3B3B3"/>
            </a:solidFill>
          </a:ln>
        </c:spPr>
        <c:txPr>
          <a:bodyPr/>
          <a:lstStyle/>
          <a:p>
            <a:pPr>
              <a:defRPr sz="1000" b="0" strike="noStrike" spc="-1">
                <a:solidFill>
                  <a:srgbClr val="000000"/>
                </a:solidFill>
                <a:latin typeface="Calibri"/>
              </a:defRPr>
            </a:pPr>
            <a:endParaRPr lang="en-US"/>
          </a:p>
        </c:txPr>
        <c:crossAx val="87339924"/>
        <c:crosses val="autoZero"/>
        <c:crossBetween val="midCat"/>
        <c:majorUnit val="1"/>
      </c:valAx>
      <c:valAx>
        <c:axId val="87339924"/>
        <c:scaling>
          <c:orientation val="minMax"/>
        </c:scaling>
        <c:delete val="0"/>
        <c:axPos val="l"/>
        <c:majorGridlines>
          <c:spPr>
            <a:ln w="0">
              <a:solidFill>
                <a:srgbClr val="B3B3B3"/>
              </a:solidFill>
            </a:ln>
          </c:spPr>
        </c:majorGridlines>
        <c:numFmt formatCode="0" sourceLinked="0"/>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5514349"/>
        <c:crosses val="autoZero"/>
        <c:crossBetween val="midCat"/>
      </c:valAx>
      <c:spPr>
        <a:noFill/>
        <a:ln w="0">
          <a:noFill/>
        </a:ln>
      </c:spPr>
    </c:plotArea>
    <c:legend>
      <c:legendPos val="b"/>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1.xml"/><Relationship Id="rId13" Type="http://schemas.openxmlformats.org/officeDocument/2006/relationships/chart" Target="../charts/chart26.xml"/><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5.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4.xml"/><Relationship Id="rId5" Type="http://schemas.openxmlformats.org/officeDocument/2006/relationships/chart" Target="../charts/chart18.xml"/><Relationship Id="rId10" Type="http://schemas.openxmlformats.org/officeDocument/2006/relationships/chart" Target="../charts/chart23.xml"/><Relationship Id="rId4" Type="http://schemas.openxmlformats.org/officeDocument/2006/relationships/chart" Target="../charts/chart17.xml"/><Relationship Id="rId9"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8" Type="http://schemas.openxmlformats.org/officeDocument/2006/relationships/chart" Target="../charts/chart34.xml"/><Relationship Id="rId13" Type="http://schemas.openxmlformats.org/officeDocument/2006/relationships/chart" Target="../charts/chart39.xml"/><Relationship Id="rId3" Type="http://schemas.openxmlformats.org/officeDocument/2006/relationships/chart" Target="../charts/chart29.xml"/><Relationship Id="rId7" Type="http://schemas.openxmlformats.org/officeDocument/2006/relationships/chart" Target="../charts/chart33.xml"/><Relationship Id="rId12" Type="http://schemas.openxmlformats.org/officeDocument/2006/relationships/chart" Target="../charts/chart38.xml"/><Relationship Id="rId2" Type="http://schemas.openxmlformats.org/officeDocument/2006/relationships/chart" Target="../charts/chart28.xml"/><Relationship Id="rId1" Type="http://schemas.openxmlformats.org/officeDocument/2006/relationships/chart" Target="../charts/chart27.xml"/><Relationship Id="rId6" Type="http://schemas.openxmlformats.org/officeDocument/2006/relationships/chart" Target="../charts/chart32.xml"/><Relationship Id="rId11" Type="http://schemas.openxmlformats.org/officeDocument/2006/relationships/chart" Target="../charts/chart37.xml"/><Relationship Id="rId5" Type="http://schemas.openxmlformats.org/officeDocument/2006/relationships/chart" Target="../charts/chart31.xml"/><Relationship Id="rId10" Type="http://schemas.openxmlformats.org/officeDocument/2006/relationships/chart" Target="../charts/chart36.xml"/><Relationship Id="rId4" Type="http://schemas.openxmlformats.org/officeDocument/2006/relationships/chart" Target="../charts/chart30.xml"/><Relationship Id="rId9"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7.xml"/><Relationship Id="rId13" Type="http://schemas.openxmlformats.org/officeDocument/2006/relationships/chart" Target="../charts/chart52.xml"/><Relationship Id="rId3" Type="http://schemas.openxmlformats.org/officeDocument/2006/relationships/chart" Target="../charts/chart42.xml"/><Relationship Id="rId7" Type="http://schemas.openxmlformats.org/officeDocument/2006/relationships/chart" Target="../charts/chart46.xml"/><Relationship Id="rId12" Type="http://schemas.openxmlformats.org/officeDocument/2006/relationships/chart" Target="../charts/chart51.xml"/><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chart" Target="../charts/chart45.xml"/><Relationship Id="rId11" Type="http://schemas.openxmlformats.org/officeDocument/2006/relationships/chart" Target="../charts/chart50.xml"/><Relationship Id="rId5" Type="http://schemas.openxmlformats.org/officeDocument/2006/relationships/chart" Target="../charts/chart44.xml"/><Relationship Id="rId10" Type="http://schemas.openxmlformats.org/officeDocument/2006/relationships/chart" Target="../charts/chart49.xml"/><Relationship Id="rId4" Type="http://schemas.openxmlformats.org/officeDocument/2006/relationships/chart" Target="../charts/chart43.xml"/><Relationship Id="rId9" Type="http://schemas.openxmlformats.org/officeDocument/2006/relationships/chart" Target="../charts/chart4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10</xdr:col>
      <xdr:colOff>298440</xdr:colOff>
      <xdr:row>57</xdr:row>
      <xdr:rowOff>103680</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61</xdr:row>
      <xdr:rowOff>0</xdr:rowOff>
    </xdr:from>
    <xdr:to>
      <xdr:col>10</xdr:col>
      <xdr:colOff>298440</xdr:colOff>
      <xdr:row>85</xdr:row>
      <xdr:rowOff>103680</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89</xdr:row>
      <xdr:rowOff>0</xdr:rowOff>
    </xdr:from>
    <xdr:to>
      <xdr:col>10</xdr:col>
      <xdr:colOff>298440</xdr:colOff>
      <xdr:row>113</xdr:row>
      <xdr:rowOff>103680</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313</xdr:row>
      <xdr:rowOff>0</xdr:rowOff>
    </xdr:from>
    <xdr:to>
      <xdr:col>10</xdr:col>
      <xdr:colOff>298440</xdr:colOff>
      <xdr:row>337</xdr:row>
      <xdr:rowOff>103680</xdr:rowOff>
    </xdr:to>
    <xdr:graphicFrame macro="">
      <xdr:nvGraphicFramePr>
        <xdr:cNvPr id="5" name="Chart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341</xdr:row>
      <xdr:rowOff>0</xdr:rowOff>
    </xdr:from>
    <xdr:to>
      <xdr:col>10</xdr:col>
      <xdr:colOff>298440</xdr:colOff>
      <xdr:row>365</xdr:row>
      <xdr:rowOff>103680</xdr:rowOff>
    </xdr:to>
    <xdr:graphicFrame macro="">
      <xdr:nvGraphicFramePr>
        <xdr:cNvPr id="6" name="Chart 5">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117</xdr:row>
      <xdr:rowOff>0</xdr:rowOff>
    </xdr:from>
    <xdr:to>
      <xdr:col>10</xdr:col>
      <xdr:colOff>298440</xdr:colOff>
      <xdr:row>141</xdr:row>
      <xdr:rowOff>103680</xdr:rowOff>
    </xdr:to>
    <xdr:graphicFrame macro="">
      <xdr:nvGraphicFramePr>
        <xdr:cNvPr id="7" name="Chart 6">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145</xdr:row>
      <xdr:rowOff>0</xdr:rowOff>
    </xdr:from>
    <xdr:to>
      <xdr:col>10</xdr:col>
      <xdr:colOff>298440</xdr:colOff>
      <xdr:row>169</xdr:row>
      <xdr:rowOff>103680</xdr:rowOff>
    </xdr:to>
    <xdr:graphicFrame macro="">
      <xdr:nvGraphicFramePr>
        <xdr:cNvPr id="8" name="Chart 7">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369</xdr:row>
      <xdr:rowOff>0</xdr:rowOff>
    </xdr:from>
    <xdr:to>
      <xdr:col>10</xdr:col>
      <xdr:colOff>298440</xdr:colOff>
      <xdr:row>393</xdr:row>
      <xdr:rowOff>103680</xdr:rowOff>
    </xdr:to>
    <xdr:graphicFrame macro="">
      <xdr:nvGraphicFramePr>
        <xdr:cNvPr id="9" name="Chart 8">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229</xdr:row>
      <xdr:rowOff>0</xdr:rowOff>
    </xdr:from>
    <xdr:to>
      <xdr:col>10</xdr:col>
      <xdr:colOff>298440</xdr:colOff>
      <xdr:row>253</xdr:row>
      <xdr:rowOff>103680</xdr:rowOff>
    </xdr:to>
    <xdr:graphicFrame macro="">
      <xdr:nvGraphicFramePr>
        <xdr:cNvPr id="10" name="Chart 9">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173</xdr:row>
      <xdr:rowOff>0</xdr:rowOff>
    </xdr:from>
    <xdr:to>
      <xdr:col>10</xdr:col>
      <xdr:colOff>298440</xdr:colOff>
      <xdr:row>197</xdr:row>
      <xdr:rowOff>103680</xdr:rowOff>
    </xdr:to>
    <xdr:graphicFrame macro="">
      <xdr:nvGraphicFramePr>
        <xdr:cNvPr id="11" name="Chart 10">
          <a:extLst>
            <a:ext uri="{FF2B5EF4-FFF2-40B4-BE49-F238E27FC236}">
              <a16:creationId xmlns:a16="http://schemas.microsoft.com/office/drawing/2014/main" id="{00000000-0008-0000-08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201</xdr:row>
      <xdr:rowOff>0</xdr:rowOff>
    </xdr:from>
    <xdr:to>
      <xdr:col>10</xdr:col>
      <xdr:colOff>298440</xdr:colOff>
      <xdr:row>225</xdr:row>
      <xdr:rowOff>103680</xdr:rowOff>
    </xdr:to>
    <xdr:graphicFrame macro="">
      <xdr:nvGraphicFramePr>
        <xdr:cNvPr id="12" name="Chart 11">
          <a:extLst>
            <a:ext uri="{FF2B5EF4-FFF2-40B4-BE49-F238E27FC236}">
              <a16:creationId xmlns:a16="http://schemas.microsoft.com/office/drawing/2014/main" id="{00000000-0008-0000-08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285</xdr:row>
      <xdr:rowOff>0</xdr:rowOff>
    </xdr:from>
    <xdr:to>
      <xdr:col>10</xdr:col>
      <xdr:colOff>298440</xdr:colOff>
      <xdr:row>309</xdr:row>
      <xdr:rowOff>103680</xdr:rowOff>
    </xdr:to>
    <xdr:graphicFrame macro="">
      <xdr:nvGraphicFramePr>
        <xdr:cNvPr id="13" name="Chart 12">
          <a:extLst>
            <a:ext uri="{FF2B5EF4-FFF2-40B4-BE49-F238E27FC236}">
              <a16:creationId xmlns:a16="http://schemas.microsoft.com/office/drawing/2014/main" id="{00000000-0008-0000-08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257</xdr:row>
      <xdr:rowOff>0</xdr:rowOff>
    </xdr:from>
    <xdr:to>
      <xdr:col>10</xdr:col>
      <xdr:colOff>298440</xdr:colOff>
      <xdr:row>281</xdr:row>
      <xdr:rowOff>103680</xdr:rowOff>
    </xdr:to>
    <xdr:graphicFrame macro="">
      <xdr:nvGraphicFramePr>
        <xdr:cNvPr id="14" name="Chart 13">
          <a:extLst>
            <a:ext uri="{FF2B5EF4-FFF2-40B4-BE49-F238E27FC236}">
              <a16:creationId xmlns:a16="http://schemas.microsoft.com/office/drawing/2014/main" id="{00000000-0008-0000-08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10</xdr:col>
      <xdr:colOff>298440</xdr:colOff>
      <xdr:row>57</xdr:row>
      <xdr:rowOff>103680</xdr:rowOff>
    </xdr:to>
    <xdr:graphicFrame macro="">
      <xdr:nvGraphicFramePr>
        <xdr:cNvPr id="13" name="Chart 1">
          <a:extLst>
            <a:ext uri="{FF2B5EF4-FFF2-40B4-BE49-F238E27FC236}">
              <a16:creationId xmlns:a16="http://schemas.microsoft.com/office/drawing/2014/main" id="{00000000-0008-0000-09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61</xdr:row>
      <xdr:rowOff>0</xdr:rowOff>
    </xdr:from>
    <xdr:to>
      <xdr:col>10</xdr:col>
      <xdr:colOff>298440</xdr:colOff>
      <xdr:row>85</xdr:row>
      <xdr:rowOff>103680</xdr:rowOff>
    </xdr:to>
    <xdr:graphicFrame macro="">
      <xdr:nvGraphicFramePr>
        <xdr:cNvPr id="14" name="Chart 2">
          <a:extLst>
            <a:ext uri="{FF2B5EF4-FFF2-40B4-BE49-F238E27FC236}">
              <a16:creationId xmlns:a16="http://schemas.microsoft.com/office/drawing/2014/main" id="{00000000-0008-0000-09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89</xdr:row>
      <xdr:rowOff>0</xdr:rowOff>
    </xdr:from>
    <xdr:to>
      <xdr:col>10</xdr:col>
      <xdr:colOff>298440</xdr:colOff>
      <xdr:row>113</xdr:row>
      <xdr:rowOff>103680</xdr:rowOff>
    </xdr:to>
    <xdr:graphicFrame macro="">
      <xdr:nvGraphicFramePr>
        <xdr:cNvPr id="15" name="Chart 3">
          <a:extLst>
            <a:ext uri="{FF2B5EF4-FFF2-40B4-BE49-F238E27FC236}">
              <a16:creationId xmlns:a16="http://schemas.microsoft.com/office/drawing/2014/main" id="{00000000-0008-0000-09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313</xdr:row>
      <xdr:rowOff>0</xdr:rowOff>
    </xdr:from>
    <xdr:to>
      <xdr:col>10</xdr:col>
      <xdr:colOff>298440</xdr:colOff>
      <xdr:row>337</xdr:row>
      <xdr:rowOff>103680</xdr:rowOff>
    </xdr:to>
    <xdr:graphicFrame macro="">
      <xdr:nvGraphicFramePr>
        <xdr:cNvPr id="16" name="Chart 4">
          <a:extLst>
            <a:ext uri="{FF2B5EF4-FFF2-40B4-BE49-F238E27FC236}">
              <a16:creationId xmlns:a16="http://schemas.microsoft.com/office/drawing/2014/main" id="{00000000-0008-0000-09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341</xdr:row>
      <xdr:rowOff>0</xdr:rowOff>
    </xdr:from>
    <xdr:to>
      <xdr:col>10</xdr:col>
      <xdr:colOff>298440</xdr:colOff>
      <xdr:row>365</xdr:row>
      <xdr:rowOff>103680</xdr:rowOff>
    </xdr:to>
    <xdr:graphicFrame macro="">
      <xdr:nvGraphicFramePr>
        <xdr:cNvPr id="17" name="Chart 5">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117</xdr:row>
      <xdr:rowOff>0</xdr:rowOff>
    </xdr:from>
    <xdr:to>
      <xdr:col>10</xdr:col>
      <xdr:colOff>298440</xdr:colOff>
      <xdr:row>141</xdr:row>
      <xdr:rowOff>103680</xdr:rowOff>
    </xdr:to>
    <xdr:graphicFrame macro="">
      <xdr:nvGraphicFramePr>
        <xdr:cNvPr id="18" name="Chart 6">
          <a:extLst>
            <a:ext uri="{FF2B5EF4-FFF2-40B4-BE49-F238E27FC236}">
              <a16:creationId xmlns:a16="http://schemas.microsoft.com/office/drawing/2014/main" id="{00000000-0008-0000-09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145</xdr:row>
      <xdr:rowOff>0</xdr:rowOff>
    </xdr:from>
    <xdr:to>
      <xdr:col>10</xdr:col>
      <xdr:colOff>298440</xdr:colOff>
      <xdr:row>169</xdr:row>
      <xdr:rowOff>103680</xdr:rowOff>
    </xdr:to>
    <xdr:graphicFrame macro="">
      <xdr:nvGraphicFramePr>
        <xdr:cNvPr id="19" name="Chart 7">
          <a:extLst>
            <a:ext uri="{FF2B5EF4-FFF2-40B4-BE49-F238E27FC236}">
              <a16:creationId xmlns:a16="http://schemas.microsoft.com/office/drawing/2014/main" id="{00000000-0008-0000-09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369</xdr:row>
      <xdr:rowOff>0</xdr:rowOff>
    </xdr:from>
    <xdr:to>
      <xdr:col>10</xdr:col>
      <xdr:colOff>298440</xdr:colOff>
      <xdr:row>393</xdr:row>
      <xdr:rowOff>103680</xdr:rowOff>
    </xdr:to>
    <xdr:graphicFrame macro="">
      <xdr:nvGraphicFramePr>
        <xdr:cNvPr id="20" name="Chart 8">
          <a:extLst>
            <a:ext uri="{FF2B5EF4-FFF2-40B4-BE49-F238E27FC236}">
              <a16:creationId xmlns:a16="http://schemas.microsoft.com/office/drawing/2014/main" id="{00000000-0008-0000-09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229</xdr:row>
      <xdr:rowOff>0</xdr:rowOff>
    </xdr:from>
    <xdr:to>
      <xdr:col>10</xdr:col>
      <xdr:colOff>298440</xdr:colOff>
      <xdr:row>253</xdr:row>
      <xdr:rowOff>103680</xdr:rowOff>
    </xdr:to>
    <xdr:graphicFrame macro="">
      <xdr:nvGraphicFramePr>
        <xdr:cNvPr id="21" name="Chart 9">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173</xdr:row>
      <xdr:rowOff>0</xdr:rowOff>
    </xdr:from>
    <xdr:to>
      <xdr:col>10</xdr:col>
      <xdr:colOff>298440</xdr:colOff>
      <xdr:row>197</xdr:row>
      <xdr:rowOff>103680</xdr:rowOff>
    </xdr:to>
    <xdr:graphicFrame macro="">
      <xdr:nvGraphicFramePr>
        <xdr:cNvPr id="22" name="Chart 10">
          <a:extLst>
            <a:ext uri="{FF2B5EF4-FFF2-40B4-BE49-F238E27FC236}">
              <a16:creationId xmlns:a16="http://schemas.microsoft.com/office/drawing/2014/main" id="{00000000-0008-0000-09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201</xdr:row>
      <xdr:rowOff>0</xdr:rowOff>
    </xdr:from>
    <xdr:to>
      <xdr:col>10</xdr:col>
      <xdr:colOff>298440</xdr:colOff>
      <xdr:row>225</xdr:row>
      <xdr:rowOff>103680</xdr:rowOff>
    </xdr:to>
    <xdr:graphicFrame macro="">
      <xdr:nvGraphicFramePr>
        <xdr:cNvPr id="23" name="Chart 11">
          <a:extLst>
            <a:ext uri="{FF2B5EF4-FFF2-40B4-BE49-F238E27FC236}">
              <a16:creationId xmlns:a16="http://schemas.microsoft.com/office/drawing/2014/main" id="{00000000-0008-0000-09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285</xdr:row>
      <xdr:rowOff>0</xdr:rowOff>
    </xdr:from>
    <xdr:to>
      <xdr:col>10</xdr:col>
      <xdr:colOff>298440</xdr:colOff>
      <xdr:row>309</xdr:row>
      <xdr:rowOff>103680</xdr:rowOff>
    </xdr:to>
    <xdr:graphicFrame macro="">
      <xdr:nvGraphicFramePr>
        <xdr:cNvPr id="24" name="Chart 12">
          <a:extLst>
            <a:ext uri="{FF2B5EF4-FFF2-40B4-BE49-F238E27FC236}">
              <a16:creationId xmlns:a16="http://schemas.microsoft.com/office/drawing/2014/main" id="{00000000-0008-0000-09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257</xdr:row>
      <xdr:rowOff>0</xdr:rowOff>
    </xdr:from>
    <xdr:to>
      <xdr:col>10</xdr:col>
      <xdr:colOff>298440</xdr:colOff>
      <xdr:row>281</xdr:row>
      <xdr:rowOff>103680</xdr:rowOff>
    </xdr:to>
    <xdr:graphicFrame macro="">
      <xdr:nvGraphicFramePr>
        <xdr:cNvPr id="25" name="Chart 13">
          <a:extLst>
            <a:ext uri="{FF2B5EF4-FFF2-40B4-BE49-F238E27FC236}">
              <a16:creationId xmlns:a16="http://schemas.microsoft.com/office/drawing/2014/main" id="{00000000-0008-0000-09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10</xdr:col>
      <xdr:colOff>298440</xdr:colOff>
      <xdr:row>57</xdr:row>
      <xdr:rowOff>103680</xdr:rowOff>
    </xdr:to>
    <xdr:graphicFrame macro="">
      <xdr:nvGraphicFramePr>
        <xdr:cNvPr id="26" name="Chart 1">
          <a:extLst>
            <a:ext uri="{FF2B5EF4-FFF2-40B4-BE49-F238E27FC236}">
              <a16:creationId xmlns:a16="http://schemas.microsoft.com/office/drawing/2014/main" id="{00000000-0008-0000-0A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61</xdr:row>
      <xdr:rowOff>0</xdr:rowOff>
    </xdr:from>
    <xdr:to>
      <xdr:col>10</xdr:col>
      <xdr:colOff>298440</xdr:colOff>
      <xdr:row>85</xdr:row>
      <xdr:rowOff>103680</xdr:rowOff>
    </xdr:to>
    <xdr:graphicFrame macro="">
      <xdr:nvGraphicFramePr>
        <xdr:cNvPr id="27" name="Chart 2">
          <a:extLst>
            <a:ext uri="{FF2B5EF4-FFF2-40B4-BE49-F238E27FC236}">
              <a16:creationId xmlns:a16="http://schemas.microsoft.com/office/drawing/2014/main" id="{00000000-0008-0000-0A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89</xdr:row>
      <xdr:rowOff>0</xdr:rowOff>
    </xdr:from>
    <xdr:to>
      <xdr:col>10</xdr:col>
      <xdr:colOff>298440</xdr:colOff>
      <xdr:row>113</xdr:row>
      <xdr:rowOff>103680</xdr:rowOff>
    </xdr:to>
    <xdr:graphicFrame macro="">
      <xdr:nvGraphicFramePr>
        <xdr:cNvPr id="28" name="Chart 3">
          <a:extLst>
            <a:ext uri="{FF2B5EF4-FFF2-40B4-BE49-F238E27FC236}">
              <a16:creationId xmlns:a16="http://schemas.microsoft.com/office/drawing/2014/main" id="{00000000-0008-0000-0A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313</xdr:row>
      <xdr:rowOff>0</xdr:rowOff>
    </xdr:from>
    <xdr:to>
      <xdr:col>10</xdr:col>
      <xdr:colOff>298440</xdr:colOff>
      <xdr:row>337</xdr:row>
      <xdr:rowOff>103680</xdr:rowOff>
    </xdr:to>
    <xdr:graphicFrame macro="">
      <xdr:nvGraphicFramePr>
        <xdr:cNvPr id="29" name="Chart 4">
          <a:extLst>
            <a:ext uri="{FF2B5EF4-FFF2-40B4-BE49-F238E27FC236}">
              <a16:creationId xmlns:a16="http://schemas.microsoft.com/office/drawing/2014/main" id="{00000000-0008-0000-0A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341</xdr:row>
      <xdr:rowOff>0</xdr:rowOff>
    </xdr:from>
    <xdr:to>
      <xdr:col>10</xdr:col>
      <xdr:colOff>298440</xdr:colOff>
      <xdr:row>365</xdr:row>
      <xdr:rowOff>103680</xdr:rowOff>
    </xdr:to>
    <xdr:graphicFrame macro="">
      <xdr:nvGraphicFramePr>
        <xdr:cNvPr id="30" name="Chart 5">
          <a:extLst>
            <a:ext uri="{FF2B5EF4-FFF2-40B4-BE49-F238E27FC236}">
              <a16:creationId xmlns:a16="http://schemas.microsoft.com/office/drawing/2014/main" id="{00000000-0008-0000-0A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117</xdr:row>
      <xdr:rowOff>0</xdr:rowOff>
    </xdr:from>
    <xdr:to>
      <xdr:col>10</xdr:col>
      <xdr:colOff>298440</xdr:colOff>
      <xdr:row>141</xdr:row>
      <xdr:rowOff>103680</xdr:rowOff>
    </xdr:to>
    <xdr:graphicFrame macro="">
      <xdr:nvGraphicFramePr>
        <xdr:cNvPr id="31" name="Chart 6">
          <a:extLst>
            <a:ext uri="{FF2B5EF4-FFF2-40B4-BE49-F238E27FC236}">
              <a16:creationId xmlns:a16="http://schemas.microsoft.com/office/drawing/2014/main" id="{00000000-0008-0000-0A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145</xdr:row>
      <xdr:rowOff>0</xdr:rowOff>
    </xdr:from>
    <xdr:to>
      <xdr:col>10</xdr:col>
      <xdr:colOff>298440</xdr:colOff>
      <xdr:row>169</xdr:row>
      <xdr:rowOff>103680</xdr:rowOff>
    </xdr:to>
    <xdr:graphicFrame macro="">
      <xdr:nvGraphicFramePr>
        <xdr:cNvPr id="32" name="Chart 7">
          <a:extLst>
            <a:ext uri="{FF2B5EF4-FFF2-40B4-BE49-F238E27FC236}">
              <a16:creationId xmlns:a16="http://schemas.microsoft.com/office/drawing/2014/main" id="{00000000-0008-0000-0A00-00002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369</xdr:row>
      <xdr:rowOff>0</xdr:rowOff>
    </xdr:from>
    <xdr:to>
      <xdr:col>10</xdr:col>
      <xdr:colOff>298440</xdr:colOff>
      <xdr:row>393</xdr:row>
      <xdr:rowOff>103680</xdr:rowOff>
    </xdr:to>
    <xdr:graphicFrame macro="">
      <xdr:nvGraphicFramePr>
        <xdr:cNvPr id="33" name="Chart 8">
          <a:extLst>
            <a:ext uri="{FF2B5EF4-FFF2-40B4-BE49-F238E27FC236}">
              <a16:creationId xmlns:a16="http://schemas.microsoft.com/office/drawing/2014/main" id="{00000000-0008-0000-0A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229</xdr:row>
      <xdr:rowOff>0</xdr:rowOff>
    </xdr:from>
    <xdr:to>
      <xdr:col>10</xdr:col>
      <xdr:colOff>298440</xdr:colOff>
      <xdr:row>253</xdr:row>
      <xdr:rowOff>103680</xdr:rowOff>
    </xdr:to>
    <xdr:graphicFrame macro="">
      <xdr:nvGraphicFramePr>
        <xdr:cNvPr id="34" name="Chart 9">
          <a:extLst>
            <a:ext uri="{FF2B5EF4-FFF2-40B4-BE49-F238E27FC236}">
              <a16:creationId xmlns:a16="http://schemas.microsoft.com/office/drawing/2014/main" id="{00000000-0008-0000-0A00-00002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173</xdr:row>
      <xdr:rowOff>0</xdr:rowOff>
    </xdr:from>
    <xdr:to>
      <xdr:col>10</xdr:col>
      <xdr:colOff>298440</xdr:colOff>
      <xdr:row>197</xdr:row>
      <xdr:rowOff>103680</xdr:rowOff>
    </xdr:to>
    <xdr:graphicFrame macro="">
      <xdr:nvGraphicFramePr>
        <xdr:cNvPr id="35" name="Chart 10">
          <a:extLst>
            <a:ext uri="{FF2B5EF4-FFF2-40B4-BE49-F238E27FC236}">
              <a16:creationId xmlns:a16="http://schemas.microsoft.com/office/drawing/2014/main" id="{00000000-0008-0000-0A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201</xdr:row>
      <xdr:rowOff>0</xdr:rowOff>
    </xdr:from>
    <xdr:to>
      <xdr:col>10</xdr:col>
      <xdr:colOff>298440</xdr:colOff>
      <xdr:row>225</xdr:row>
      <xdr:rowOff>103680</xdr:rowOff>
    </xdr:to>
    <xdr:graphicFrame macro="">
      <xdr:nvGraphicFramePr>
        <xdr:cNvPr id="36" name="Chart 11">
          <a:extLst>
            <a:ext uri="{FF2B5EF4-FFF2-40B4-BE49-F238E27FC236}">
              <a16:creationId xmlns:a16="http://schemas.microsoft.com/office/drawing/2014/main" id="{00000000-0008-0000-0A00-00002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285</xdr:row>
      <xdr:rowOff>0</xdr:rowOff>
    </xdr:from>
    <xdr:to>
      <xdr:col>10</xdr:col>
      <xdr:colOff>298440</xdr:colOff>
      <xdr:row>309</xdr:row>
      <xdr:rowOff>103680</xdr:rowOff>
    </xdr:to>
    <xdr:graphicFrame macro="">
      <xdr:nvGraphicFramePr>
        <xdr:cNvPr id="37" name="Chart 12">
          <a:extLst>
            <a:ext uri="{FF2B5EF4-FFF2-40B4-BE49-F238E27FC236}">
              <a16:creationId xmlns:a16="http://schemas.microsoft.com/office/drawing/2014/main" id="{00000000-0008-0000-0A00-00002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257</xdr:row>
      <xdr:rowOff>0</xdr:rowOff>
    </xdr:from>
    <xdr:to>
      <xdr:col>10</xdr:col>
      <xdr:colOff>298440</xdr:colOff>
      <xdr:row>281</xdr:row>
      <xdr:rowOff>103680</xdr:rowOff>
    </xdr:to>
    <xdr:graphicFrame macro="">
      <xdr:nvGraphicFramePr>
        <xdr:cNvPr id="38" name="Chart 13">
          <a:extLst>
            <a:ext uri="{FF2B5EF4-FFF2-40B4-BE49-F238E27FC236}">
              <a16:creationId xmlns:a16="http://schemas.microsoft.com/office/drawing/2014/main" id="{00000000-0008-0000-0A00-00002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10</xdr:col>
      <xdr:colOff>298440</xdr:colOff>
      <xdr:row>57</xdr:row>
      <xdr:rowOff>103680</xdr:rowOff>
    </xdr:to>
    <xdr:graphicFrame macro="">
      <xdr:nvGraphicFramePr>
        <xdr:cNvPr id="39" name="Chart 1">
          <a:extLst>
            <a:ext uri="{FF2B5EF4-FFF2-40B4-BE49-F238E27FC236}">
              <a16:creationId xmlns:a16="http://schemas.microsoft.com/office/drawing/2014/main" id="{00000000-0008-0000-0B00-00002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61</xdr:row>
      <xdr:rowOff>0</xdr:rowOff>
    </xdr:from>
    <xdr:to>
      <xdr:col>10</xdr:col>
      <xdr:colOff>298440</xdr:colOff>
      <xdr:row>85</xdr:row>
      <xdr:rowOff>103680</xdr:rowOff>
    </xdr:to>
    <xdr:graphicFrame macro="">
      <xdr:nvGraphicFramePr>
        <xdr:cNvPr id="40" name="Chart 2">
          <a:extLst>
            <a:ext uri="{FF2B5EF4-FFF2-40B4-BE49-F238E27FC236}">
              <a16:creationId xmlns:a16="http://schemas.microsoft.com/office/drawing/2014/main" id="{00000000-0008-0000-0B00-00002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89</xdr:row>
      <xdr:rowOff>0</xdr:rowOff>
    </xdr:from>
    <xdr:to>
      <xdr:col>10</xdr:col>
      <xdr:colOff>298440</xdr:colOff>
      <xdr:row>113</xdr:row>
      <xdr:rowOff>103680</xdr:rowOff>
    </xdr:to>
    <xdr:graphicFrame macro="">
      <xdr:nvGraphicFramePr>
        <xdr:cNvPr id="41" name="Chart 3">
          <a:extLst>
            <a:ext uri="{FF2B5EF4-FFF2-40B4-BE49-F238E27FC236}">
              <a16:creationId xmlns:a16="http://schemas.microsoft.com/office/drawing/2014/main" id="{00000000-0008-0000-0B00-00002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313</xdr:row>
      <xdr:rowOff>0</xdr:rowOff>
    </xdr:from>
    <xdr:to>
      <xdr:col>10</xdr:col>
      <xdr:colOff>298440</xdr:colOff>
      <xdr:row>337</xdr:row>
      <xdr:rowOff>103680</xdr:rowOff>
    </xdr:to>
    <xdr:graphicFrame macro="">
      <xdr:nvGraphicFramePr>
        <xdr:cNvPr id="42" name="Chart 4">
          <a:extLst>
            <a:ext uri="{FF2B5EF4-FFF2-40B4-BE49-F238E27FC236}">
              <a16:creationId xmlns:a16="http://schemas.microsoft.com/office/drawing/2014/main" id="{00000000-0008-0000-0B00-00002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341</xdr:row>
      <xdr:rowOff>0</xdr:rowOff>
    </xdr:from>
    <xdr:to>
      <xdr:col>10</xdr:col>
      <xdr:colOff>298440</xdr:colOff>
      <xdr:row>365</xdr:row>
      <xdr:rowOff>103680</xdr:rowOff>
    </xdr:to>
    <xdr:graphicFrame macro="">
      <xdr:nvGraphicFramePr>
        <xdr:cNvPr id="43" name="Chart 5">
          <a:extLst>
            <a:ext uri="{FF2B5EF4-FFF2-40B4-BE49-F238E27FC236}">
              <a16:creationId xmlns:a16="http://schemas.microsoft.com/office/drawing/2014/main" id="{00000000-0008-0000-0B00-00002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117</xdr:row>
      <xdr:rowOff>0</xdr:rowOff>
    </xdr:from>
    <xdr:to>
      <xdr:col>10</xdr:col>
      <xdr:colOff>298440</xdr:colOff>
      <xdr:row>141</xdr:row>
      <xdr:rowOff>103680</xdr:rowOff>
    </xdr:to>
    <xdr:graphicFrame macro="">
      <xdr:nvGraphicFramePr>
        <xdr:cNvPr id="44" name="Chart 6">
          <a:extLst>
            <a:ext uri="{FF2B5EF4-FFF2-40B4-BE49-F238E27FC236}">
              <a16:creationId xmlns:a16="http://schemas.microsoft.com/office/drawing/2014/main" id="{00000000-0008-0000-0B00-00002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145</xdr:row>
      <xdr:rowOff>0</xdr:rowOff>
    </xdr:from>
    <xdr:to>
      <xdr:col>10</xdr:col>
      <xdr:colOff>298440</xdr:colOff>
      <xdr:row>169</xdr:row>
      <xdr:rowOff>103680</xdr:rowOff>
    </xdr:to>
    <xdr:graphicFrame macro="">
      <xdr:nvGraphicFramePr>
        <xdr:cNvPr id="45" name="Chart 7">
          <a:extLst>
            <a:ext uri="{FF2B5EF4-FFF2-40B4-BE49-F238E27FC236}">
              <a16:creationId xmlns:a16="http://schemas.microsoft.com/office/drawing/2014/main" id="{00000000-0008-0000-0B00-00002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369</xdr:row>
      <xdr:rowOff>0</xdr:rowOff>
    </xdr:from>
    <xdr:to>
      <xdr:col>10</xdr:col>
      <xdr:colOff>298440</xdr:colOff>
      <xdr:row>393</xdr:row>
      <xdr:rowOff>103680</xdr:rowOff>
    </xdr:to>
    <xdr:graphicFrame macro="">
      <xdr:nvGraphicFramePr>
        <xdr:cNvPr id="46" name="Chart 8">
          <a:extLst>
            <a:ext uri="{FF2B5EF4-FFF2-40B4-BE49-F238E27FC236}">
              <a16:creationId xmlns:a16="http://schemas.microsoft.com/office/drawing/2014/main" id="{00000000-0008-0000-0B00-00002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229</xdr:row>
      <xdr:rowOff>0</xdr:rowOff>
    </xdr:from>
    <xdr:to>
      <xdr:col>10</xdr:col>
      <xdr:colOff>298440</xdr:colOff>
      <xdr:row>253</xdr:row>
      <xdr:rowOff>103680</xdr:rowOff>
    </xdr:to>
    <xdr:graphicFrame macro="">
      <xdr:nvGraphicFramePr>
        <xdr:cNvPr id="47" name="Chart 9">
          <a:extLst>
            <a:ext uri="{FF2B5EF4-FFF2-40B4-BE49-F238E27FC236}">
              <a16:creationId xmlns:a16="http://schemas.microsoft.com/office/drawing/2014/main" id="{00000000-0008-0000-0B00-00002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173</xdr:row>
      <xdr:rowOff>0</xdr:rowOff>
    </xdr:from>
    <xdr:to>
      <xdr:col>10</xdr:col>
      <xdr:colOff>298440</xdr:colOff>
      <xdr:row>197</xdr:row>
      <xdr:rowOff>103680</xdr:rowOff>
    </xdr:to>
    <xdr:graphicFrame macro="">
      <xdr:nvGraphicFramePr>
        <xdr:cNvPr id="48" name="Chart 10">
          <a:extLst>
            <a:ext uri="{FF2B5EF4-FFF2-40B4-BE49-F238E27FC236}">
              <a16:creationId xmlns:a16="http://schemas.microsoft.com/office/drawing/2014/main" id="{00000000-0008-0000-0B00-00003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0</xdr:colOff>
      <xdr:row>201</xdr:row>
      <xdr:rowOff>0</xdr:rowOff>
    </xdr:from>
    <xdr:to>
      <xdr:col>10</xdr:col>
      <xdr:colOff>298440</xdr:colOff>
      <xdr:row>225</xdr:row>
      <xdr:rowOff>103680</xdr:rowOff>
    </xdr:to>
    <xdr:graphicFrame macro="">
      <xdr:nvGraphicFramePr>
        <xdr:cNvPr id="49" name="Chart 11">
          <a:extLst>
            <a:ext uri="{FF2B5EF4-FFF2-40B4-BE49-F238E27FC236}">
              <a16:creationId xmlns:a16="http://schemas.microsoft.com/office/drawing/2014/main" id="{00000000-0008-0000-0B00-00003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0</xdr:colOff>
      <xdr:row>285</xdr:row>
      <xdr:rowOff>0</xdr:rowOff>
    </xdr:from>
    <xdr:to>
      <xdr:col>10</xdr:col>
      <xdr:colOff>298440</xdr:colOff>
      <xdr:row>309</xdr:row>
      <xdr:rowOff>103680</xdr:rowOff>
    </xdr:to>
    <xdr:graphicFrame macro="">
      <xdr:nvGraphicFramePr>
        <xdr:cNvPr id="50" name="Chart 12">
          <a:extLst>
            <a:ext uri="{FF2B5EF4-FFF2-40B4-BE49-F238E27FC236}">
              <a16:creationId xmlns:a16="http://schemas.microsoft.com/office/drawing/2014/main" id="{00000000-0008-0000-0B00-00003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257</xdr:row>
      <xdr:rowOff>0</xdr:rowOff>
    </xdr:from>
    <xdr:to>
      <xdr:col>10</xdr:col>
      <xdr:colOff>298440</xdr:colOff>
      <xdr:row>281</xdr:row>
      <xdr:rowOff>103680</xdr:rowOff>
    </xdr:to>
    <xdr:graphicFrame macro="">
      <xdr:nvGraphicFramePr>
        <xdr:cNvPr id="51" name="Chart 13">
          <a:extLst>
            <a:ext uri="{FF2B5EF4-FFF2-40B4-BE49-F238E27FC236}">
              <a16:creationId xmlns:a16="http://schemas.microsoft.com/office/drawing/2014/main" id="{00000000-0008-0000-0B00-00003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3"/>
  <sheetViews>
    <sheetView zoomScaleNormal="100" workbookViewId="0"/>
  </sheetViews>
  <sheetFormatPr defaultColWidth="8.7109375" defaultRowHeight="15" x14ac:dyDescent="0.25"/>
  <cols>
    <col min="1" max="1" width="12" customWidth="1"/>
    <col min="2" max="2" width="46" customWidth="1"/>
    <col min="3" max="3" width="24" customWidth="1"/>
    <col min="4" max="4" width="28" customWidth="1"/>
    <col min="5" max="5" width="52" customWidth="1"/>
    <col min="6" max="6" width="16" customWidth="1"/>
    <col min="7" max="7" width="14" customWidth="1"/>
  </cols>
  <sheetData>
    <row r="1" spans="1:7" ht="15" customHeight="1" x14ac:dyDescent="0.25">
      <c r="A1" s="1" t="s">
        <v>0</v>
      </c>
      <c r="B1" s="1" t="s">
        <v>1</v>
      </c>
      <c r="C1" s="1" t="s">
        <v>2</v>
      </c>
      <c r="D1" s="1" t="s">
        <v>3</v>
      </c>
      <c r="E1" s="1" t="s">
        <v>4</v>
      </c>
      <c r="F1" s="1" t="s">
        <v>5</v>
      </c>
      <c r="G1" s="1" t="s">
        <v>6</v>
      </c>
    </row>
    <row r="2" spans="1:7" ht="15" customHeight="1" x14ac:dyDescent="0.25">
      <c r="A2" t="s">
        <v>7</v>
      </c>
      <c r="B2" t="s">
        <v>8</v>
      </c>
      <c r="C2" t="s">
        <v>9</v>
      </c>
      <c r="D2" t="s">
        <v>10</v>
      </c>
      <c r="E2" t="s">
        <v>11</v>
      </c>
      <c r="F2" t="s">
        <v>12</v>
      </c>
      <c r="G2" t="s">
        <v>13</v>
      </c>
    </row>
    <row r="3" spans="1:7" ht="15" customHeight="1" x14ac:dyDescent="0.25">
      <c r="A3" t="s">
        <v>7</v>
      </c>
      <c r="B3" t="s">
        <v>14</v>
      </c>
      <c r="C3" t="s">
        <v>9</v>
      </c>
      <c r="D3" t="s">
        <v>10</v>
      </c>
      <c r="E3" t="s">
        <v>15</v>
      </c>
      <c r="F3" t="s">
        <v>12</v>
      </c>
      <c r="G3" t="s">
        <v>13</v>
      </c>
    </row>
    <row r="4" spans="1:7" ht="15" customHeight="1" x14ac:dyDescent="0.25">
      <c r="A4" t="s">
        <v>7</v>
      </c>
      <c r="B4" t="s">
        <v>16</v>
      </c>
      <c r="C4" t="s">
        <v>9</v>
      </c>
      <c r="D4" t="s">
        <v>10</v>
      </c>
      <c r="E4" t="s">
        <v>17</v>
      </c>
      <c r="F4" t="s">
        <v>12</v>
      </c>
      <c r="G4" t="s">
        <v>13</v>
      </c>
    </row>
    <row r="5" spans="1:7" ht="15" customHeight="1" x14ac:dyDescent="0.25">
      <c r="A5" t="s">
        <v>7</v>
      </c>
      <c r="B5" t="s">
        <v>18</v>
      </c>
      <c r="C5" t="s">
        <v>9</v>
      </c>
      <c r="D5" t="s">
        <v>10</v>
      </c>
      <c r="E5" t="s">
        <v>19</v>
      </c>
      <c r="F5" t="s">
        <v>12</v>
      </c>
      <c r="G5" t="s">
        <v>13</v>
      </c>
    </row>
    <row r="6" spans="1:7" ht="15" customHeight="1" x14ac:dyDescent="0.25">
      <c r="A6" t="s">
        <v>7</v>
      </c>
      <c r="B6" t="s">
        <v>20</v>
      </c>
      <c r="C6" t="s">
        <v>9</v>
      </c>
      <c r="D6" t="s">
        <v>10</v>
      </c>
      <c r="E6" t="s">
        <v>21</v>
      </c>
      <c r="F6" t="s">
        <v>12</v>
      </c>
      <c r="G6" t="s">
        <v>13</v>
      </c>
    </row>
    <row r="7" spans="1:7" ht="15" customHeight="1" x14ac:dyDescent="0.25">
      <c r="A7" t="s">
        <v>7</v>
      </c>
      <c r="B7" t="s">
        <v>22</v>
      </c>
      <c r="C7" t="s">
        <v>9</v>
      </c>
      <c r="D7" t="s">
        <v>10</v>
      </c>
      <c r="E7" t="s">
        <v>23</v>
      </c>
      <c r="F7" t="s">
        <v>12</v>
      </c>
      <c r="G7" t="s">
        <v>13</v>
      </c>
    </row>
    <row r="8" spans="1:7" ht="15" customHeight="1" x14ac:dyDescent="0.25">
      <c r="A8" t="s">
        <v>7</v>
      </c>
      <c r="B8" t="s">
        <v>24</v>
      </c>
      <c r="C8" t="s">
        <v>9</v>
      </c>
      <c r="D8" t="s">
        <v>10</v>
      </c>
      <c r="E8" t="s">
        <v>23</v>
      </c>
      <c r="F8" t="s">
        <v>12</v>
      </c>
      <c r="G8" t="s">
        <v>13</v>
      </c>
    </row>
    <row r="9" spans="1:7" ht="15" customHeight="1" x14ac:dyDescent="0.25">
      <c r="A9" t="s">
        <v>7</v>
      </c>
      <c r="B9" t="s">
        <v>25</v>
      </c>
      <c r="C9" t="s">
        <v>9</v>
      </c>
      <c r="D9" t="s">
        <v>10</v>
      </c>
      <c r="E9" t="s">
        <v>26</v>
      </c>
      <c r="F9" t="s">
        <v>12</v>
      </c>
      <c r="G9" t="s">
        <v>13</v>
      </c>
    </row>
    <row r="10" spans="1:7" ht="15" customHeight="1" x14ac:dyDescent="0.25">
      <c r="A10" t="s">
        <v>7</v>
      </c>
      <c r="B10" t="s">
        <v>27</v>
      </c>
      <c r="C10" t="s">
        <v>9</v>
      </c>
      <c r="D10" t="s">
        <v>10</v>
      </c>
      <c r="E10" t="s">
        <v>28</v>
      </c>
      <c r="F10" t="s">
        <v>12</v>
      </c>
      <c r="G10" t="s">
        <v>13</v>
      </c>
    </row>
    <row r="11" spans="1:7" ht="15" customHeight="1" x14ac:dyDescent="0.25">
      <c r="A11" t="s">
        <v>7</v>
      </c>
      <c r="B11" t="s">
        <v>29</v>
      </c>
      <c r="C11" t="s">
        <v>9</v>
      </c>
      <c r="D11" t="s">
        <v>10</v>
      </c>
      <c r="E11" t="s">
        <v>30</v>
      </c>
      <c r="F11" t="s">
        <v>12</v>
      </c>
      <c r="G11" t="s">
        <v>13</v>
      </c>
    </row>
    <row r="12" spans="1:7" ht="15" customHeight="1" x14ac:dyDescent="0.25">
      <c r="A12" t="s">
        <v>7</v>
      </c>
      <c r="B12" t="s">
        <v>31</v>
      </c>
      <c r="C12" t="s">
        <v>9</v>
      </c>
      <c r="D12" t="s">
        <v>10</v>
      </c>
      <c r="E12" t="s">
        <v>32</v>
      </c>
      <c r="F12" t="s">
        <v>12</v>
      </c>
      <c r="G12" t="s">
        <v>13</v>
      </c>
    </row>
    <row r="13" spans="1:7" ht="15" customHeight="1" x14ac:dyDescent="0.25">
      <c r="A13" t="s">
        <v>7</v>
      </c>
      <c r="B13" t="s">
        <v>33</v>
      </c>
      <c r="C13" t="s">
        <v>9</v>
      </c>
      <c r="D13" t="s">
        <v>10</v>
      </c>
      <c r="E13" t="s">
        <v>34</v>
      </c>
      <c r="F13" t="s">
        <v>12</v>
      </c>
      <c r="G13" t="s">
        <v>13</v>
      </c>
    </row>
    <row r="14" spans="1:7" ht="15" customHeight="1" x14ac:dyDescent="0.25">
      <c r="A14" t="s">
        <v>7</v>
      </c>
      <c r="B14" t="s">
        <v>35</v>
      </c>
      <c r="C14" t="s">
        <v>9</v>
      </c>
      <c r="D14" t="s">
        <v>10</v>
      </c>
      <c r="E14" t="s">
        <v>36</v>
      </c>
      <c r="F14" t="s">
        <v>12</v>
      </c>
      <c r="G14" t="s">
        <v>13</v>
      </c>
    </row>
    <row r="15" spans="1:7" ht="15" customHeight="1" x14ac:dyDescent="0.25">
      <c r="A15" t="s">
        <v>37</v>
      </c>
      <c r="B15" t="s">
        <v>38</v>
      </c>
      <c r="C15" t="s">
        <v>39</v>
      </c>
      <c r="D15" t="s">
        <v>40</v>
      </c>
      <c r="E15" t="s">
        <v>41</v>
      </c>
      <c r="F15" t="s">
        <v>12</v>
      </c>
      <c r="G15" t="s">
        <v>13</v>
      </c>
    </row>
    <row r="16" spans="1:7" ht="15" customHeight="1" x14ac:dyDescent="0.25">
      <c r="A16" t="s">
        <v>42</v>
      </c>
      <c r="B16" t="s">
        <v>43</v>
      </c>
      <c r="C16" t="s">
        <v>44</v>
      </c>
      <c r="D16" t="s">
        <v>45</v>
      </c>
      <c r="E16" t="s">
        <v>46</v>
      </c>
      <c r="F16" t="s">
        <v>12</v>
      </c>
      <c r="G16" t="s">
        <v>47</v>
      </c>
    </row>
    <row r="17" spans="1:7" ht="15" customHeight="1" x14ac:dyDescent="0.25">
      <c r="A17" t="s">
        <v>48</v>
      </c>
      <c r="B17" t="s">
        <v>49</v>
      </c>
      <c r="C17" t="s">
        <v>9</v>
      </c>
      <c r="D17" t="s">
        <v>10</v>
      </c>
      <c r="E17" t="s">
        <v>50</v>
      </c>
      <c r="F17" t="s">
        <v>12</v>
      </c>
      <c r="G17" t="s">
        <v>13</v>
      </c>
    </row>
    <row r="18" spans="1:7" ht="15" customHeight="1" x14ac:dyDescent="0.25">
      <c r="A18" t="s">
        <v>48</v>
      </c>
      <c r="B18" t="s">
        <v>51</v>
      </c>
      <c r="C18" t="s">
        <v>9</v>
      </c>
      <c r="D18" t="s">
        <v>10</v>
      </c>
      <c r="E18" t="s">
        <v>52</v>
      </c>
      <c r="F18" t="s">
        <v>12</v>
      </c>
      <c r="G18" t="s">
        <v>13</v>
      </c>
    </row>
    <row r="19" spans="1:7" ht="15" customHeight="1" x14ac:dyDescent="0.25">
      <c r="A19" t="s">
        <v>48</v>
      </c>
      <c r="B19" t="s">
        <v>53</v>
      </c>
      <c r="C19" t="s">
        <v>9</v>
      </c>
      <c r="D19" t="s">
        <v>10</v>
      </c>
      <c r="E19" t="s">
        <v>54</v>
      </c>
      <c r="F19" t="s">
        <v>12</v>
      </c>
      <c r="G19" t="s">
        <v>13</v>
      </c>
    </row>
    <row r="20" spans="1:7" ht="15" customHeight="1" x14ac:dyDescent="0.25">
      <c r="A20" t="s">
        <v>55</v>
      </c>
      <c r="B20" t="s">
        <v>8</v>
      </c>
      <c r="C20" t="s">
        <v>9</v>
      </c>
      <c r="D20" t="s">
        <v>10</v>
      </c>
      <c r="E20" t="s">
        <v>56</v>
      </c>
      <c r="F20" t="s">
        <v>12</v>
      </c>
      <c r="G20" t="s">
        <v>13</v>
      </c>
    </row>
    <row r="21" spans="1:7" ht="15" customHeight="1" x14ac:dyDescent="0.25">
      <c r="A21" t="s">
        <v>55</v>
      </c>
      <c r="B21" t="s">
        <v>14</v>
      </c>
      <c r="C21" t="s">
        <v>9</v>
      </c>
      <c r="D21" t="s">
        <v>10</v>
      </c>
      <c r="E21" t="s">
        <v>57</v>
      </c>
      <c r="F21" t="s">
        <v>12</v>
      </c>
      <c r="G21" t="s">
        <v>13</v>
      </c>
    </row>
    <row r="22" spans="1:7" ht="15" customHeight="1" x14ac:dyDescent="0.25">
      <c r="A22" t="s">
        <v>55</v>
      </c>
      <c r="B22" t="s">
        <v>16</v>
      </c>
      <c r="C22" t="s">
        <v>9</v>
      </c>
      <c r="D22" t="s">
        <v>10</v>
      </c>
      <c r="E22" t="s">
        <v>58</v>
      </c>
      <c r="F22" t="s">
        <v>12</v>
      </c>
      <c r="G22" t="s">
        <v>13</v>
      </c>
    </row>
    <row r="23" spans="1:7" ht="15" customHeight="1" x14ac:dyDescent="0.25">
      <c r="A23" t="s">
        <v>55</v>
      </c>
      <c r="B23" t="s">
        <v>18</v>
      </c>
      <c r="C23" t="s">
        <v>9</v>
      </c>
      <c r="D23" t="s">
        <v>10</v>
      </c>
      <c r="E23" t="s">
        <v>59</v>
      </c>
      <c r="F23" t="s">
        <v>12</v>
      </c>
      <c r="G23" t="s">
        <v>13</v>
      </c>
    </row>
    <row r="24" spans="1:7" ht="15" customHeight="1" x14ac:dyDescent="0.25">
      <c r="A24" t="s">
        <v>55</v>
      </c>
      <c r="B24" t="s">
        <v>20</v>
      </c>
      <c r="C24" t="s">
        <v>9</v>
      </c>
      <c r="D24" t="s">
        <v>10</v>
      </c>
      <c r="E24" t="s">
        <v>60</v>
      </c>
      <c r="F24" t="s">
        <v>12</v>
      </c>
      <c r="G24" t="s">
        <v>13</v>
      </c>
    </row>
    <row r="25" spans="1:7" ht="15" customHeight="1" x14ac:dyDescent="0.25">
      <c r="A25" t="s">
        <v>55</v>
      </c>
      <c r="B25" t="s">
        <v>22</v>
      </c>
      <c r="C25" t="s">
        <v>9</v>
      </c>
      <c r="D25" t="s">
        <v>10</v>
      </c>
      <c r="E25" t="s">
        <v>61</v>
      </c>
      <c r="F25" t="s">
        <v>12</v>
      </c>
      <c r="G25" t="s">
        <v>13</v>
      </c>
    </row>
    <row r="26" spans="1:7" ht="15" customHeight="1" x14ac:dyDescent="0.25">
      <c r="A26" t="s">
        <v>55</v>
      </c>
      <c r="B26" t="s">
        <v>24</v>
      </c>
      <c r="C26" t="s">
        <v>9</v>
      </c>
      <c r="D26" t="s">
        <v>10</v>
      </c>
      <c r="E26" t="s">
        <v>62</v>
      </c>
      <c r="F26" t="s">
        <v>12</v>
      </c>
      <c r="G26" t="s">
        <v>13</v>
      </c>
    </row>
    <row r="27" spans="1:7" ht="15" customHeight="1" x14ac:dyDescent="0.25">
      <c r="A27" t="s">
        <v>55</v>
      </c>
      <c r="B27" t="s">
        <v>63</v>
      </c>
      <c r="C27" t="s">
        <v>9</v>
      </c>
      <c r="D27" t="s">
        <v>10</v>
      </c>
      <c r="E27" t="s">
        <v>64</v>
      </c>
      <c r="F27" t="s">
        <v>12</v>
      </c>
      <c r="G27" t="s">
        <v>13</v>
      </c>
    </row>
    <row r="28" spans="1:7" ht="15" customHeight="1" x14ac:dyDescent="0.25">
      <c r="A28" t="s">
        <v>55</v>
      </c>
      <c r="B28" t="s">
        <v>27</v>
      </c>
      <c r="C28" t="s">
        <v>9</v>
      </c>
      <c r="D28" t="s">
        <v>10</v>
      </c>
      <c r="E28" t="s">
        <v>65</v>
      </c>
      <c r="F28" t="s">
        <v>12</v>
      </c>
      <c r="G28" t="s">
        <v>13</v>
      </c>
    </row>
    <row r="29" spans="1:7" ht="15" customHeight="1" x14ac:dyDescent="0.25">
      <c r="A29" t="s">
        <v>55</v>
      </c>
      <c r="B29" t="s">
        <v>29</v>
      </c>
      <c r="C29" t="s">
        <v>9</v>
      </c>
      <c r="D29" t="s">
        <v>10</v>
      </c>
      <c r="E29" t="s">
        <v>66</v>
      </c>
      <c r="F29" t="s">
        <v>12</v>
      </c>
      <c r="G29" t="s">
        <v>13</v>
      </c>
    </row>
    <row r="30" spans="1:7" ht="15" customHeight="1" x14ac:dyDescent="0.25">
      <c r="A30" t="s">
        <v>55</v>
      </c>
      <c r="B30" t="s">
        <v>31</v>
      </c>
      <c r="C30" t="s">
        <v>9</v>
      </c>
      <c r="D30" t="s">
        <v>10</v>
      </c>
      <c r="E30" t="s">
        <v>67</v>
      </c>
      <c r="F30" t="s">
        <v>12</v>
      </c>
      <c r="G30" t="s">
        <v>13</v>
      </c>
    </row>
    <row r="31" spans="1:7" ht="15" customHeight="1" x14ac:dyDescent="0.25">
      <c r="A31" t="s">
        <v>55</v>
      </c>
      <c r="B31" t="s">
        <v>33</v>
      </c>
      <c r="C31" t="s">
        <v>9</v>
      </c>
      <c r="D31" t="s">
        <v>10</v>
      </c>
      <c r="E31" t="s">
        <v>68</v>
      </c>
      <c r="F31" t="s">
        <v>12</v>
      </c>
      <c r="G31" t="s">
        <v>13</v>
      </c>
    </row>
    <row r="32" spans="1:7" ht="15" customHeight="1" x14ac:dyDescent="0.25">
      <c r="A32" t="s">
        <v>55</v>
      </c>
      <c r="B32" t="s">
        <v>35</v>
      </c>
      <c r="C32" t="s">
        <v>9</v>
      </c>
      <c r="D32" t="s">
        <v>10</v>
      </c>
      <c r="E32" t="s">
        <v>69</v>
      </c>
      <c r="F32" t="s">
        <v>12</v>
      </c>
      <c r="G32" t="s">
        <v>13</v>
      </c>
    </row>
    <row r="33" spans="1:7" ht="15" customHeight="1" x14ac:dyDescent="0.25">
      <c r="A33" t="s">
        <v>70</v>
      </c>
      <c r="B33" t="s">
        <v>71</v>
      </c>
      <c r="C33" t="s">
        <v>9</v>
      </c>
      <c r="D33" t="s">
        <v>10</v>
      </c>
      <c r="E33" t="s">
        <v>72</v>
      </c>
      <c r="F33" t="s">
        <v>12</v>
      </c>
      <c r="G33" t="s">
        <v>13</v>
      </c>
    </row>
    <row r="34" spans="1:7" ht="15" customHeight="1" x14ac:dyDescent="0.25">
      <c r="A34" t="s">
        <v>70</v>
      </c>
      <c r="B34" t="s">
        <v>73</v>
      </c>
      <c r="C34" t="s">
        <v>9</v>
      </c>
      <c r="D34" t="s">
        <v>10</v>
      </c>
      <c r="E34" t="s">
        <v>74</v>
      </c>
      <c r="F34" t="s">
        <v>12</v>
      </c>
      <c r="G34" t="s">
        <v>13</v>
      </c>
    </row>
    <row r="35" spans="1:7" ht="15" customHeight="1" x14ac:dyDescent="0.25">
      <c r="A35" t="s">
        <v>70</v>
      </c>
      <c r="B35" t="s">
        <v>75</v>
      </c>
      <c r="C35" t="s">
        <v>9</v>
      </c>
      <c r="D35" t="s">
        <v>10</v>
      </c>
      <c r="E35" t="s">
        <v>76</v>
      </c>
      <c r="F35" t="s">
        <v>12</v>
      </c>
      <c r="G35" t="s">
        <v>13</v>
      </c>
    </row>
    <row r="36" spans="1:7" ht="15" customHeight="1" x14ac:dyDescent="0.25">
      <c r="A36" t="s">
        <v>70</v>
      </c>
      <c r="B36" t="s">
        <v>77</v>
      </c>
      <c r="C36" t="s">
        <v>9</v>
      </c>
      <c r="D36" t="s">
        <v>10</v>
      </c>
      <c r="E36" t="s">
        <v>78</v>
      </c>
      <c r="F36" t="s">
        <v>12</v>
      </c>
      <c r="G36" t="s">
        <v>13</v>
      </c>
    </row>
    <row r="37" spans="1:7" ht="15" customHeight="1" x14ac:dyDescent="0.25">
      <c r="A37" t="s">
        <v>79</v>
      </c>
      <c r="B37" t="s">
        <v>8</v>
      </c>
      <c r="C37" t="s">
        <v>9</v>
      </c>
      <c r="D37" t="s">
        <v>10</v>
      </c>
      <c r="E37" t="s">
        <v>80</v>
      </c>
      <c r="F37" t="s">
        <v>12</v>
      </c>
      <c r="G37" t="s">
        <v>81</v>
      </c>
    </row>
    <row r="38" spans="1:7" ht="15" customHeight="1" x14ac:dyDescent="0.25">
      <c r="A38" t="s">
        <v>79</v>
      </c>
      <c r="B38" t="s">
        <v>14</v>
      </c>
      <c r="C38" t="s">
        <v>9</v>
      </c>
      <c r="D38" t="s">
        <v>10</v>
      </c>
      <c r="E38" t="s">
        <v>82</v>
      </c>
      <c r="F38" t="s">
        <v>12</v>
      </c>
      <c r="G38" t="s">
        <v>81</v>
      </c>
    </row>
    <row r="39" spans="1:7" ht="15" customHeight="1" x14ac:dyDescent="0.25">
      <c r="A39" t="s">
        <v>79</v>
      </c>
      <c r="B39" t="s">
        <v>16</v>
      </c>
      <c r="C39" t="s">
        <v>9</v>
      </c>
      <c r="D39" t="s">
        <v>10</v>
      </c>
      <c r="E39" t="s">
        <v>83</v>
      </c>
      <c r="F39" t="s">
        <v>12</v>
      </c>
      <c r="G39" t="s">
        <v>81</v>
      </c>
    </row>
    <row r="40" spans="1:7" ht="15" customHeight="1" x14ac:dyDescent="0.25">
      <c r="A40" t="s">
        <v>79</v>
      </c>
      <c r="B40" t="s">
        <v>18</v>
      </c>
      <c r="C40" t="s">
        <v>9</v>
      </c>
      <c r="D40" t="s">
        <v>10</v>
      </c>
      <c r="E40" t="s">
        <v>84</v>
      </c>
      <c r="F40" t="s">
        <v>12</v>
      </c>
      <c r="G40" t="s">
        <v>81</v>
      </c>
    </row>
    <row r="41" spans="1:7" ht="15" customHeight="1" x14ac:dyDescent="0.25">
      <c r="A41" t="s">
        <v>79</v>
      </c>
      <c r="B41" t="s">
        <v>20</v>
      </c>
      <c r="C41" t="s">
        <v>9</v>
      </c>
      <c r="D41" t="s">
        <v>10</v>
      </c>
      <c r="E41" t="s">
        <v>85</v>
      </c>
      <c r="F41" t="s">
        <v>12</v>
      </c>
      <c r="G41" t="s">
        <v>81</v>
      </c>
    </row>
    <row r="42" spans="1:7" ht="15" customHeight="1" x14ac:dyDescent="0.25">
      <c r="A42" t="s">
        <v>79</v>
      </c>
      <c r="B42" t="s">
        <v>22</v>
      </c>
      <c r="C42" t="s">
        <v>9</v>
      </c>
      <c r="D42" t="s">
        <v>10</v>
      </c>
      <c r="E42" t="s">
        <v>86</v>
      </c>
      <c r="F42" t="s">
        <v>12</v>
      </c>
      <c r="G42" t="s">
        <v>81</v>
      </c>
    </row>
    <row r="43" spans="1:7" ht="15" customHeight="1" x14ac:dyDescent="0.25">
      <c r="A43" t="s">
        <v>79</v>
      </c>
      <c r="B43" t="s">
        <v>24</v>
      </c>
      <c r="C43" t="s">
        <v>9</v>
      </c>
      <c r="D43" t="s">
        <v>10</v>
      </c>
      <c r="E43" t="s">
        <v>87</v>
      </c>
      <c r="F43" t="s">
        <v>12</v>
      </c>
      <c r="G43" t="s">
        <v>81</v>
      </c>
    </row>
    <row r="44" spans="1:7" ht="15" customHeight="1" x14ac:dyDescent="0.25">
      <c r="A44" t="s">
        <v>79</v>
      </c>
      <c r="B44" t="s">
        <v>88</v>
      </c>
      <c r="C44" t="s">
        <v>9</v>
      </c>
      <c r="D44" t="s">
        <v>10</v>
      </c>
      <c r="E44" t="s">
        <v>89</v>
      </c>
      <c r="F44" t="s">
        <v>12</v>
      </c>
      <c r="G44" t="s">
        <v>81</v>
      </c>
    </row>
    <row r="45" spans="1:7" ht="15" customHeight="1" x14ac:dyDescent="0.25">
      <c r="A45" t="s">
        <v>79</v>
      </c>
      <c r="B45" t="s">
        <v>90</v>
      </c>
      <c r="C45" t="s">
        <v>9</v>
      </c>
      <c r="D45" t="s">
        <v>10</v>
      </c>
      <c r="E45" t="s">
        <v>91</v>
      </c>
      <c r="F45" t="s">
        <v>12</v>
      </c>
      <c r="G45" t="s">
        <v>81</v>
      </c>
    </row>
    <row r="46" spans="1:7" ht="15" customHeight="1" x14ac:dyDescent="0.25">
      <c r="A46" t="s">
        <v>79</v>
      </c>
      <c r="B46" t="s">
        <v>29</v>
      </c>
      <c r="C46" t="s">
        <v>9</v>
      </c>
      <c r="D46" t="s">
        <v>10</v>
      </c>
      <c r="E46" t="s">
        <v>92</v>
      </c>
      <c r="F46" t="s">
        <v>12</v>
      </c>
      <c r="G46" t="s">
        <v>81</v>
      </c>
    </row>
    <row r="47" spans="1:7" ht="15" customHeight="1" x14ac:dyDescent="0.25">
      <c r="A47" t="s">
        <v>79</v>
      </c>
      <c r="B47" t="s">
        <v>31</v>
      </c>
      <c r="C47" t="s">
        <v>9</v>
      </c>
      <c r="D47" t="s">
        <v>10</v>
      </c>
      <c r="E47" t="s">
        <v>93</v>
      </c>
      <c r="F47" t="s">
        <v>12</v>
      </c>
      <c r="G47" t="s">
        <v>81</v>
      </c>
    </row>
    <row r="48" spans="1:7" ht="15" customHeight="1" x14ac:dyDescent="0.25">
      <c r="A48" t="s">
        <v>79</v>
      </c>
      <c r="B48" t="s">
        <v>33</v>
      </c>
      <c r="C48" t="s">
        <v>9</v>
      </c>
      <c r="D48" t="s">
        <v>10</v>
      </c>
      <c r="E48" t="s">
        <v>94</v>
      </c>
      <c r="F48" t="s">
        <v>12</v>
      </c>
      <c r="G48" t="s">
        <v>81</v>
      </c>
    </row>
    <row r="49" spans="1:7" ht="15" customHeight="1" x14ac:dyDescent="0.25">
      <c r="A49" t="s">
        <v>79</v>
      </c>
      <c r="B49" t="s">
        <v>35</v>
      </c>
      <c r="C49" t="s">
        <v>9</v>
      </c>
      <c r="D49" t="s">
        <v>10</v>
      </c>
      <c r="E49" t="s">
        <v>95</v>
      </c>
      <c r="F49" t="s">
        <v>12</v>
      </c>
      <c r="G49" t="s">
        <v>81</v>
      </c>
    </row>
    <row r="50" spans="1:7" ht="15" customHeight="1" x14ac:dyDescent="0.25">
      <c r="A50" t="s">
        <v>96</v>
      </c>
      <c r="B50" t="s">
        <v>97</v>
      </c>
      <c r="C50" t="s">
        <v>9</v>
      </c>
      <c r="D50" t="s">
        <v>10</v>
      </c>
      <c r="E50" t="s">
        <v>98</v>
      </c>
      <c r="F50" t="s">
        <v>12</v>
      </c>
      <c r="G50" t="s">
        <v>81</v>
      </c>
    </row>
    <row r="51" spans="1:7" ht="15" customHeight="1" x14ac:dyDescent="0.25">
      <c r="A51" t="s">
        <v>96</v>
      </c>
      <c r="B51" t="s">
        <v>99</v>
      </c>
      <c r="C51" t="s">
        <v>9</v>
      </c>
      <c r="D51" t="s">
        <v>10</v>
      </c>
      <c r="E51" t="s">
        <v>100</v>
      </c>
      <c r="F51" t="s">
        <v>12</v>
      </c>
      <c r="G51" t="s">
        <v>81</v>
      </c>
    </row>
    <row r="52" spans="1:7" ht="15" customHeight="1" x14ac:dyDescent="0.25">
      <c r="A52" t="s">
        <v>96</v>
      </c>
      <c r="B52" t="s">
        <v>101</v>
      </c>
      <c r="C52" t="s">
        <v>9</v>
      </c>
      <c r="D52" t="s">
        <v>10</v>
      </c>
      <c r="E52" t="s">
        <v>102</v>
      </c>
      <c r="F52" t="s">
        <v>12</v>
      </c>
      <c r="G52" t="s">
        <v>81</v>
      </c>
    </row>
    <row r="53" spans="1:7" ht="15" customHeight="1" x14ac:dyDescent="0.25">
      <c r="A53" t="s">
        <v>96</v>
      </c>
      <c r="B53" t="s">
        <v>103</v>
      </c>
      <c r="C53" t="s">
        <v>9</v>
      </c>
      <c r="D53" t="s">
        <v>10</v>
      </c>
      <c r="E53" t="s">
        <v>104</v>
      </c>
      <c r="F53" t="s">
        <v>12</v>
      </c>
      <c r="G53" t="s">
        <v>81</v>
      </c>
    </row>
    <row r="54" spans="1:7" ht="15" customHeight="1" x14ac:dyDescent="0.25">
      <c r="A54" t="s">
        <v>105</v>
      </c>
      <c r="B54" t="s">
        <v>8</v>
      </c>
      <c r="C54" t="s">
        <v>9</v>
      </c>
      <c r="D54" t="s">
        <v>10</v>
      </c>
      <c r="E54" t="s">
        <v>106</v>
      </c>
      <c r="F54" t="s">
        <v>12</v>
      </c>
      <c r="G54" t="s">
        <v>107</v>
      </c>
    </row>
    <row r="55" spans="1:7" ht="15" customHeight="1" x14ac:dyDescent="0.25">
      <c r="A55" t="s">
        <v>105</v>
      </c>
      <c r="B55" t="s">
        <v>14</v>
      </c>
      <c r="C55" t="s">
        <v>9</v>
      </c>
      <c r="D55" t="s">
        <v>10</v>
      </c>
      <c r="E55" t="s">
        <v>108</v>
      </c>
      <c r="F55" t="s">
        <v>12</v>
      </c>
      <c r="G55" t="s">
        <v>107</v>
      </c>
    </row>
    <row r="56" spans="1:7" ht="15" customHeight="1" x14ac:dyDescent="0.25">
      <c r="A56" t="s">
        <v>105</v>
      </c>
      <c r="B56" t="s">
        <v>16</v>
      </c>
      <c r="C56" t="s">
        <v>9</v>
      </c>
      <c r="D56" t="s">
        <v>10</v>
      </c>
      <c r="E56" t="s">
        <v>109</v>
      </c>
      <c r="F56" t="s">
        <v>12</v>
      </c>
      <c r="G56" t="s">
        <v>107</v>
      </c>
    </row>
    <row r="57" spans="1:7" ht="15" customHeight="1" x14ac:dyDescent="0.25">
      <c r="A57" t="s">
        <v>105</v>
      </c>
      <c r="B57" t="s">
        <v>18</v>
      </c>
      <c r="C57" t="s">
        <v>9</v>
      </c>
      <c r="D57" t="s">
        <v>10</v>
      </c>
      <c r="E57" t="s">
        <v>110</v>
      </c>
      <c r="F57" t="s">
        <v>12</v>
      </c>
      <c r="G57" t="s">
        <v>107</v>
      </c>
    </row>
    <row r="58" spans="1:7" ht="15" customHeight="1" x14ac:dyDescent="0.25">
      <c r="A58" t="s">
        <v>105</v>
      </c>
      <c r="B58" t="s">
        <v>20</v>
      </c>
      <c r="C58" t="s">
        <v>9</v>
      </c>
      <c r="D58" t="s">
        <v>10</v>
      </c>
      <c r="E58" t="s">
        <v>111</v>
      </c>
      <c r="F58" t="s">
        <v>12</v>
      </c>
      <c r="G58" t="s">
        <v>107</v>
      </c>
    </row>
    <row r="59" spans="1:7" ht="15" customHeight="1" x14ac:dyDescent="0.25">
      <c r="A59" t="s">
        <v>105</v>
      </c>
      <c r="B59" t="s">
        <v>22</v>
      </c>
      <c r="C59" t="s">
        <v>9</v>
      </c>
      <c r="D59" t="s">
        <v>10</v>
      </c>
      <c r="E59" t="s">
        <v>112</v>
      </c>
      <c r="F59" t="s">
        <v>12</v>
      </c>
      <c r="G59" t="s">
        <v>107</v>
      </c>
    </row>
    <row r="60" spans="1:7" ht="15" customHeight="1" x14ac:dyDescent="0.25">
      <c r="A60" t="s">
        <v>105</v>
      </c>
      <c r="B60" t="s">
        <v>24</v>
      </c>
      <c r="C60" t="s">
        <v>9</v>
      </c>
      <c r="D60" t="s">
        <v>10</v>
      </c>
      <c r="E60" t="s">
        <v>113</v>
      </c>
      <c r="F60" t="s">
        <v>12</v>
      </c>
      <c r="G60" t="s">
        <v>107</v>
      </c>
    </row>
    <row r="61" spans="1:7" ht="15" customHeight="1" x14ac:dyDescent="0.25">
      <c r="A61" t="s">
        <v>105</v>
      </c>
      <c r="B61" t="s">
        <v>88</v>
      </c>
      <c r="C61" t="s">
        <v>9</v>
      </c>
      <c r="D61" t="s">
        <v>10</v>
      </c>
      <c r="E61" t="s">
        <v>114</v>
      </c>
      <c r="F61" t="s">
        <v>12</v>
      </c>
      <c r="G61" t="s">
        <v>107</v>
      </c>
    </row>
    <row r="62" spans="1:7" ht="15" customHeight="1" x14ac:dyDescent="0.25">
      <c r="A62" t="s">
        <v>105</v>
      </c>
      <c r="B62" t="s">
        <v>115</v>
      </c>
      <c r="C62" t="s">
        <v>9</v>
      </c>
      <c r="D62" t="s">
        <v>10</v>
      </c>
      <c r="E62" t="s">
        <v>116</v>
      </c>
      <c r="F62" t="s">
        <v>12</v>
      </c>
      <c r="G62" t="s">
        <v>107</v>
      </c>
    </row>
    <row r="63" spans="1:7" ht="15" customHeight="1" x14ac:dyDescent="0.25">
      <c r="A63" t="s">
        <v>105</v>
      </c>
      <c r="B63" t="s">
        <v>29</v>
      </c>
      <c r="C63" t="s">
        <v>9</v>
      </c>
      <c r="D63" t="s">
        <v>10</v>
      </c>
      <c r="E63" t="s">
        <v>117</v>
      </c>
      <c r="F63" t="s">
        <v>12</v>
      </c>
      <c r="G63" t="s">
        <v>107</v>
      </c>
    </row>
    <row r="64" spans="1:7" ht="15" customHeight="1" x14ac:dyDescent="0.25">
      <c r="A64" t="s">
        <v>105</v>
      </c>
      <c r="B64" t="s">
        <v>31</v>
      </c>
      <c r="C64" t="s">
        <v>9</v>
      </c>
      <c r="D64" t="s">
        <v>10</v>
      </c>
      <c r="E64" t="s">
        <v>118</v>
      </c>
      <c r="F64" t="s">
        <v>12</v>
      </c>
      <c r="G64" t="s">
        <v>107</v>
      </c>
    </row>
    <row r="65" spans="1:7" ht="15" customHeight="1" x14ac:dyDescent="0.25">
      <c r="A65" t="s">
        <v>105</v>
      </c>
      <c r="B65" t="s">
        <v>33</v>
      </c>
      <c r="C65" t="s">
        <v>9</v>
      </c>
      <c r="D65" t="s">
        <v>10</v>
      </c>
      <c r="E65" t="s">
        <v>119</v>
      </c>
      <c r="F65" t="s">
        <v>12</v>
      </c>
      <c r="G65" t="s">
        <v>107</v>
      </c>
    </row>
    <row r="66" spans="1:7" ht="15" customHeight="1" x14ac:dyDescent="0.25">
      <c r="A66" t="s">
        <v>105</v>
      </c>
      <c r="B66" t="s">
        <v>35</v>
      </c>
      <c r="C66" t="s">
        <v>9</v>
      </c>
      <c r="D66" t="s">
        <v>10</v>
      </c>
      <c r="E66" t="s">
        <v>120</v>
      </c>
      <c r="F66" t="s">
        <v>12</v>
      </c>
      <c r="G66" t="s">
        <v>107</v>
      </c>
    </row>
    <row r="67" spans="1:7" ht="15" customHeight="1" x14ac:dyDescent="0.25">
      <c r="A67" t="s">
        <v>121</v>
      </c>
      <c r="B67" t="s">
        <v>122</v>
      </c>
      <c r="C67" t="s">
        <v>9</v>
      </c>
      <c r="D67" t="s">
        <v>10</v>
      </c>
      <c r="E67" t="s">
        <v>123</v>
      </c>
      <c r="F67" t="s">
        <v>12</v>
      </c>
      <c r="G67" t="s">
        <v>107</v>
      </c>
    </row>
    <row r="68" spans="1:7" ht="15" customHeight="1" x14ac:dyDescent="0.25">
      <c r="A68" t="s">
        <v>121</v>
      </c>
      <c r="B68" t="s">
        <v>124</v>
      </c>
      <c r="C68" t="s">
        <v>9</v>
      </c>
      <c r="D68" t="s">
        <v>10</v>
      </c>
      <c r="E68" t="s">
        <v>125</v>
      </c>
      <c r="F68" t="s">
        <v>12</v>
      </c>
      <c r="G68" t="s">
        <v>107</v>
      </c>
    </row>
    <row r="69" spans="1:7" ht="15" customHeight="1" x14ac:dyDescent="0.25">
      <c r="A69" t="s">
        <v>121</v>
      </c>
      <c r="B69" t="s">
        <v>126</v>
      </c>
      <c r="C69" t="s">
        <v>9</v>
      </c>
      <c r="D69" t="s">
        <v>10</v>
      </c>
      <c r="E69" t="s">
        <v>127</v>
      </c>
      <c r="F69" t="s">
        <v>12</v>
      </c>
      <c r="G69" t="s">
        <v>107</v>
      </c>
    </row>
    <row r="70" spans="1:7" ht="15" customHeight="1" x14ac:dyDescent="0.25">
      <c r="A70" t="s">
        <v>121</v>
      </c>
      <c r="B70" t="s">
        <v>128</v>
      </c>
      <c r="C70" t="s">
        <v>9</v>
      </c>
      <c r="D70" t="s">
        <v>10</v>
      </c>
      <c r="E70" t="s">
        <v>129</v>
      </c>
      <c r="F70" t="s">
        <v>12</v>
      </c>
      <c r="G70" t="s">
        <v>107</v>
      </c>
    </row>
    <row r="71" spans="1:7" ht="15" customHeight="1" x14ac:dyDescent="0.25">
      <c r="A71" t="s">
        <v>130</v>
      </c>
      <c r="B71" t="s">
        <v>8</v>
      </c>
      <c r="C71" t="s">
        <v>9</v>
      </c>
      <c r="D71" t="s">
        <v>10</v>
      </c>
      <c r="E71" t="s">
        <v>131</v>
      </c>
      <c r="F71" t="s">
        <v>12</v>
      </c>
      <c r="G71" t="s">
        <v>107</v>
      </c>
    </row>
    <row r="72" spans="1:7" ht="15" customHeight="1" x14ac:dyDescent="0.25">
      <c r="A72" t="s">
        <v>130</v>
      </c>
      <c r="B72" t="s">
        <v>14</v>
      </c>
      <c r="C72" t="s">
        <v>9</v>
      </c>
      <c r="D72" t="s">
        <v>10</v>
      </c>
      <c r="E72" t="s">
        <v>132</v>
      </c>
      <c r="F72" t="s">
        <v>12</v>
      </c>
      <c r="G72" t="s">
        <v>107</v>
      </c>
    </row>
    <row r="73" spans="1:7" ht="15" customHeight="1" x14ac:dyDescent="0.25">
      <c r="A73" t="s">
        <v>130</v>
      </c>
      <c r="B73" t="s">
        <v>16</v>
      </c>
      <c r="C73" t="s">
        <v>9</v>
      </c>
      <c r="D73" t="s">
        <v>10</v>
      </c>
      <c r="E73" t="s">
        <v>133</v>
      </c>
      <c r="F73" t="s">
        <v>12</v>
      </c>
      <c r="G73" t="s">
        <v>107</v>
      </c>
    </row>
    <row r="74" spans="1:7" ht="15" customHeight="1" x14ac:dyDescent="0.25">
      <c r="A74" t="s">
        <v>130</v>
      </c>
      <c r="B74" t="s">
        <v>18</v>
      </c>
      <c r="C74" t="s">
        <v>9</v>
      </c>
      <c r="D74" t="s">
        <v>10</v>
      </c>
      <c r="E74" t="s">
        <v>134</v>
      </c>
      <c r="F74" t="s">
        <v>12</v>
      </c>
      <c r="G74" t="s">
        <v>107</v>
      </c>
    </row>
    <row r="75" spans="1:7" ht="15" customHeight="1" x14ac:dyDescent="0.25">
      <c r="A75" t="s">
        <v>130</v>
      </c>
      <c r="B75" t="s">
        <v>20</v>
      </c>
      <c r="C75" t="s">
        <v>9</v>
      </c>
      <c r="D75" t="s">
        <v>10</v>
      </c>
      <c r="E75" t="s">
        <v>135</v>
      </c>
      <c r="F75" t="s">
        <v>12</v>
      </c>
      <c r="G75" t="s">
        <v>107</v>
      </c>
    </row>
    <row r="76" spans="1:7" ht="15" customHeight="1" x14ac:dyDescent="0.25">
      <c r="A76" t="s">
        <v>130</v>
      </c>
      <c r="B76" t="s">
        <v>22</v>
      </c>
      <c r="C76" t="s">
        <v>9</v>
      </c>
      <c r="D76" t="s">
        <v>10</v>
      </c>
      <c r="E76" t="s">
        <v>136</v>
      </c>
      <c r="F76" t="s">
        <v>12</v>
      </c>
      <c r="G76" t="s">
        <v>107</v>
      </c>
    </row>
    <row r="77" spans="1:7" ht="15" customHeight="1" x14ac:dyDescent="0.25">
      <c r="A77" t="s">
        <v>130</v>
      </c>
      <c r="B77" t="s">
        <v>24</v>
      </c>
      <c r="C77" t="s">
        <v>9</v>
      </c>
      <c r="D77" t="s">
        <v>10</v>
      </c>
      <c r="E77" t="s">
        <v>137</v>
      </c>
      <c r="F77" t="s">
        <v>12</v>
      </c>
      <c r="G77" t="s">
        <v>107</v>
      </c>
    </row>
    <row r="78" spans="1:7" ht="15" customHeight="1" x14ac:dyDescent="0.25">
      <c r="A78" t="s">
        <v>130</v>
      </c>
      <c r="B78" t="s">
        <v>88</v>
      </c>
      <c r="C78" t="s">
        <v>9</v>
      </c>
      <c r="D78" t="s">
        <v>10</v>
      </c>
      <c r="E78" t="s">
        <v>138</v>
      </c>
      <c r="F78" t="s">
        <v>12</v>
      </c>
      <c r="G78" t="s">
        <v>107</v>
      </c>
    </row>
    <row r="79" spans="1:7" ht="15" customHeight="1" x14ac:dyDescent="0.25">
      <c r="A79" t="s">
        <v>130</v>
      </c>
      <c r="B79" t="s">
        <v>90</v>
      </c>
      <c r="C79" t="s">
        <v>9</v>
      </c>
      <c r="D79" t="s">
        <v>10</v>
      </c>
      <c r="E79" t="s">
        <v>139</v>
      </c>
      <c r="F79" t="s">
        <v>12</v>
      </c>
      <c r="G79" t="s">
        <v>107</v>
      </c>
    </row>
    <row r="80" spans="1:7" ht="15" customHeight="1" x14ac:dyDescent="0.25">
      <c r="A80" t="s">
        <v>130</v>
      </c>
      <c r="B80" t="s">
        <v>29</v>
      </c>
      <c r="C80" t="s">
        <v>9</v>
      </c>
      <c r="D80" t="s">
        <v>10</v>
      </c>
      <c r="E80" t="s">
        <v>140</v>
      </c>
      <c r="F80" t="s">
        <v>12</v>
      </c>
      <c r="G80" t="s">
        <v>107</v>
      </c>
    </row>
    <row r="81" spans="1:7" ht="15" customHeight="1" x14ac:dyDescent="0.25">
      <c r="A81" t="s">
        <v>130</v>
      </c>
      <c r="B81" t="s">
        <v>31</v>
      </c>
      <c r="C81" t="s">
        <v>9</v>
      </c>
      <c r="D81" t="s">
        <v>10</v>
      </c>
      <c r="E81" t="s">
        <v>141</v>
      </c>
      <c r="F81" t="s">
        <v>12</v>
      </c>
      <c r="G81" t="s">
        <v>107</v>
      </c>
    </row>
    <row r="82" spans="1:7" ht="15" customHeight="1" x14ac:dyDescent="0.25">
      <c r="A82" t="s">
        <v>130</v>
      </c>
      <c r="B82" t="s">
        <v>33</v>
      </c>
      <c r="C82" t="s">
        <v>9</v>
      </c>
      <c r="D82" t="s">
        <v>10</v>
      </c>
      <c r="E82" t="s">
        <v>142</v>
      </c>
      <c r="F82" t="s">
        <v>12</v>
      </c>
      <c r="G82" t="s">
        <v>107</v>
      </c>
    </row>
    <row r="83" spans="1:7" ht="15" customHeight="1" x14ac:dyDescent="0.25">
      <c r="A83" t="s">
        <v>130</v>
      </c>
      <c r="B83" t="s">
        <v>35</v>
      </c>
      <c r="C83" t="s">
        <v>9</v>
      </c>
      <c r="D83" t="s">
        <v>10</v>
      </c>
      <c r="E83" t="s">
        <v>143</v>
      </c>
      <c r="F83" t="s">
        <v>12</v>
      </c>
      <c r="G83" t="s">
        <v>107</v>
      </c>
    </row>
    <row r="84" spans="1:7" ht="15" customHeight="1" x14ac:dyDescent="0.25">
      <c r="A84" t="s">
        <v>144</v>
      </c>
      <c r="B84" t="s">
        <v>145</v>
      </c>
      <c r="C84" t="s">
        <v>9</v>
      </c>
      <c r="D84" t="s">
        <v>10</v>
      </c>
      <c r="E84" t="s">
        <v>146</v>
      </c>
      <c r="F84" t="s">
        <v>12</v>
      </c>
      <c r="G84" t="s">
        <v>107</v>
      </c>
    </row>
    <row r="85" spans="1:7" ht="15" customHeight="1" x14ac:dyDescent="0.25">
      <c r="A85" t="s">
        <v>144</v>
      </c>
      <c r="B85" t="s">
        <v>147</v>
      </c>
      <c r="C85" t="s">
        <v>9</v>
      </c>
      <c r="D85" t="s">
        <v>10</v>
      </c>
      <c r="E85" t="s">
        <v>148</v>
      </c>
      <c r="F85" t="s">
        <v>12</v>
      </c>
      <c r="G85" t="s">
        <v>107</v>
      </c>
    </row>
    <row r="86" spans="1:7" ht="15" customHeight="1" x14ac:dyDescent="0.25">
      <c r="A86" t="s">
        <v>144</v>
      </c>
      <c r="B86" t="s">
        <v>149</v>
      </c>
      <c r="C86" t="s">
        <v>9</v>
      </c>
      <c r="D86" t="s">
        <v>10</v>
      </c>
      <c r="E86" t="s">
        <v>150</v>
      </c>
      <c r="F86" t="s">
        <v>12</v>
      </c>
      <c r="G86" t="s">
        <v>107</v>
      </c>
    </row>
    <row r="87" spans="1:7" ht="15" customHeight="1" x14ac:dyDescent="0.25">
      <c r="A87" t="s">
        <v>144</v>
      </c>
      <c r="B87" t="s">
        <v>151</v>
      </c>
      <c r="C87" t="s">
        <v>9</v>
      </c>
      <c r="D87" t="s">
        <v>10</v>
      </c>
      <c r="E87" t="s">
        <v>152</v>
      </c>
      <c r="F87" t="s">
        <v>12</v>
      </c>
      <c r="G87" t="s">
        <v>107</v>
      </c>
    </row>
    <row r="88" spans="1:7" ht="15" customHeight="1" x14ac:dyDescent="0.25">
      <c r="A88" t="s">
        <v>144</v>
      </c>
      <c r="B88" t="s">
        <v>153</v>
      </c>
      <c r="C88" t="s">
        <v>9</v>
      </c>
      <c r="D88" t="s">
        <v>10</v>
      </c>
      <c r="E88" t="s">
        <v>154</v>
      </c>
      <c r="F88" t="s">
        <v>12</v>
      </c>
      <c r="G88" t="s">
        <v>107</v>
      </c>
    </row>
    <row r="89" spans="1:7" ht="15" customHeight="1" x14ac:dyDescent="0.25">
      <c r="A89" t="s">
        <v>144</v>
      </c>
      <c r="B89" t="s">
        <v>155</v>
      </c>
      <c r="C89" t="s">
        <v>9</v>
      </c>
      <c r="D89" t="s">
        <v>10</v>
      </c>
      <c r="E89" t="s">
        <v>156</v>
      </c>
      <c r="F89" t="s">
        <v>12</v>
      </c>
      <c r="G89" t="s">
        <v>107</v>
      </c>
    </row>
    <row r="90" spans="1:7" ht="15" customHeight="1" x14ac:dyDescent="0.25">
      <c r="A90" t="s">
        <v>144</v>
      </c>
      <c r="B90" t="s">
        <v>157</v>
      </c>
      <c r="C90" t="s">
        <v>9</v>
      </c>
      <c r="D90" t="s">
        <v>10</v>
      </c>
      <c r="E90" t="s">
        <v>158</v>
      </c>
      <c r="F90" t="s">
        <v>12</v>
      </c>
      <c r="G90" t="s">
        <v>107</v>
      </c>
    </row>
    <row r="91" spans="1:7" ht="15" customHeight="1" x14ac:dyDescent="0.25">
      <c r="A91" t="s">
        <v>144</v>
      </c>
      <c r="B91" t="s">
        <v>159</v>
      </c>
      <c r="C91" t="s">
        <v>9</v>
      </c>
      <c r="D91" t="s">
        <v>10</v>
      </c>
      <c r="E91" t="s">
        <v>160</v>
      </c>
      <c r="F91" t="s">
        <v>12</v>
      </c>
      <c r="G91" t="s">
        <v>107</v>
      </c>
    </row>
    <row r="92" spans="1:7" ht="15" customHeight="1" x14ac:dyDescent="0.25">
      <c r="A92" t="s">
        <v>144</v>
      </c>
      <c r="B92" t="s">
        <v>161</v>
      </c>
      <c r="C92" t="s">
        <v>9</v>
      </c>
      <c r="D92" t="s">
        <v>10</v>
      </c>
      <c r="E92" t="s">
        <v>162</v>
      </c>
      <c r="F92" t="s">
        <v>12</v>
      </c>
      <c r="G92" t="s">
        <v>107</v>
      </c>
    </row>
    <row r="93" spans="1:7" ht="15" customHeight="1" x14ac:dyDescent="0.25">
      <c r="A93" t="s">
        <v>144</v>
      </c>
      <c r="B93" t="s">
        <v>163</v>
      </c>
      <c r="C93" t="s">
        <v>9</v>
      </c>
      <c r="D93" t="s">
        <v>10</v>
      </c>
      <c r="E93" t="s">
        <v>164</v>
      </c>
      <c r="F93" t="s">
        <v>12</v>
      </c>
      <c r="G93" t="s">
        <v>107</v>
      </c>
    </row>
    <row r="94" spans="1:7" ht="15" customHeight="1" x14ac:dyDescent="0.25">
      <c r="A94" t="s">
        <v>144</v>
      </c>
      <c r="B94" t="s">
        <v>165</v>
      </c>
      <c r="C94" t="s">
        <v>9</v>
      </c>
      <c r="D94" t="s">
        <v>10</v>
      </c>
      <c r="E94" t="s">
        <v>166</v>
      </c>
      <c r="F94" t="s">
        <v>12</v>
      </c>
      <c r="G94" t="s">
        <v>107</v>
      </c>
    </row>
    <row r="95" spans="1:7" ht="15" customHeight="1" x14ac:dyDescent="0.25">
      <c r="A95" t="s">
        <v>144</v>
      </c>
      <c r="B95" t="s">
        <v>167</v>
      </c>
      <c r="C95" t="s">
        <v>9</v>
      </c>
      <c r="D95" t="s">
        <v>10</v>
      </c>
      <c r="E95" t="s">
        <v>168</v>
      </c>
      <c r="F95" t="s">
        <v>12</v>
      </c>
      <c r="G95" t="s">
        <v>107</v>
      </c>
    </row>
    <row r="96" spans="1:7" ht="15" customHeight="1" x14ac:dyDescent="0.25">
      <c r="A96" t="s">
        <v>144</v>
      </c>
      <c r="B96" t="s">
        <v>169</v>
      </c>
      <c r="C96" t="s">
        <v>9</v>
      </c>
      <c r="D96" t="s">
        <v>10</v>
      </c>
      <c r="E96" t="s">
        <v>170</v>
      </c>
      <c r="F96" t="s">
        <v>12</v>
      </c>
      <c r="G96" t="s">
        <v>107</v>
      </c>
    </row>
    <row r="97" spans="1:7" ht="15" customHeight="1" x14ac:dyDescent="0.25">
      <c r="A97" t="s">
        <v>144</v>
      </c>
      <c r="B97" t="s">
        <v>171</v>
      </c>
      <c r="C97" t="s">
        <v>9</v>
      </c>
      <c r="D97" t="s">
        <v>10</v>
      </c>
      <c r="E97" t="s">
        <v>172</v>
      </c>
      <c r="F97" t="s">
        <v>12</v>
      </c>
      <c r="G97" t="s">
        <v>107</v>
      </c>
    </row>
    <row r="98" spans="1:7" ht="15" customHeight="1" x14ac:dyDescent="0.25">
      <c r="A98" t="s">
        <v>173</v>
      </c>
      <c r="B98" t="s">
        <v>174</v>
      </c>
      <c r="C98" t="s">
        <v>175</v>
      </c>
      <c r="D98" t="s">
        <v>176</v>
      </c>
      <c r="E98" t="s">
        <v>177</v>
      </c>
      <c r="F98" t="s">
        <v>178</v>
      </c>
      <c r="G98" t="s">
        <v>107</v>
      </c>
    </row>
    <row r="99" spans="1:7" ht="15" customHeight="1" x14ac:dyDescent="0.25">
      <c r="A99" t="s">
        <v>179</v>
      </c>
      <c r="B99" t="s">
        <v>180</v>
      </c>
      <c r="C99" t="s">
        <v>175</v>
      </c>
      <c r="D99" t="s">
        <v>176</v>
      </c>
      <c r="E99" t="s">
        <v>181</v>
      </c>
      <c r="F99" t="s">
        <v>178</v>
      </c>
      <c r="G99" t="s">
        <v>107</v>
      </c>
    </row>
    <row r="100" spans="1:7" ht="15" customHeight="1" x14ac:dyDescent="0.25">
      <c r="A100" t="s">
        <v>182</v>
      </c>
      <c r="B100" t="s">
        <v>183</v>
      </c>
      <c r="C100" t="s">
        <v>184</v>
      </c>
      <c r="D100" t="s">
        <v>185</v>
      </c>
      <c r="E100" t="s">
        <v>186</v>
      </c>
      <c r="F100" t="s">
        <v>187</v>
      </c>
      <c r="G100" t="s">
        <v>107</v>
      </c>
    </row>
    <row r="101" spans="1:7" ht="15" customHeight="1" x14ac:dyDescent="0.25">
      <c r="A101" t="s">
        <v>188</v>
      </c>
      <c r="B101" t="s">
        <v>189</v>
      </c>
      <c r="C101" t="s">
        <v>184</v>
      </c>
      <c r="D101" t="s">
        <v>185</v>
      </c>
      <c r="E101" t="s">
        <v>190</v>
      </c>
      <c r="F101" t="s">
        <v>187</v>
      </c>
      <c r="G101" t="s">
        <v>47</v>
      </c>
    </row>
    <row r="102" spans="1:7" ht="15" customHeight="1" x14ac:dyDescent="0.25">
      <c r="A102" t="s">
        <v>188</v>
      </c>
      <c r="B102" t="s">
        <v>191</v>
      </c>
      <c r="C102" t="s">
        <v>9</v>
      </c>
      <c r="D102" t="s">
        <v>10</v>
      </c>
      <c r="E102" t="s">
        <v>192</v>
      </c>
      <c r="F102" t="s">
        <v>12</v>
      </c>
      <c r="G102" t="s">
        <v>47</v>
      </c>
    </row>
    <row r="103" spans="1:7" ht="15" customHeight="1" x14ac:dyDescent="0.25">
      <c r="A103" t="s">
        <v>188</v>
      </c>
      <c r="B103" t="s">
        <v>193</v>
      </c>
      <c r="C103" t="s">
        <v>9</v>
      </c>
      <c r="D103" t="s">
        <v>10</v>
      </c>
      <c r="E103" t="s">
        <v>194</v>
      </c>
      <c r="F103" t="s">
        <v>12</v>
      </c>
      <c r="G103" t="s">
        <v>47</v>
      </c>
    </row>
    <row r="104" spans="1:7" ht="15" customHeight="1" x14ac:dyDescent="0.25">
      <c r="A104" t="s">
        <v>188</v>
      </c>
      <c r="B104" t="s">
        <v>195</v>
      </c>
      <c r="C104" t="s">
        <v>9</v>
      </c>
      <c r="D104" t="s">
        <v>10</v>
      </c>
      <c r="E104" t="s">
        <v>196</v>
      </c>
      <c r="F104" t="s">
        <v>12</v>
      </c>
      <c r="G104" t="s">
        <v>47</v>
      </c>
    </row>
    <row r="105" spans="1:7" ht="15" customHeight="1" x14ac:dyDescent="0.25">
      <c r="A105" t="s">
        <v>188</v>
      </c>
      <c r="B105" t="s">
        <v>197</v>
      </c>
      <c r="C105" t="s">
        <v>9</v>
      </c>
      <c r="D105" t="s">
        <v>10</v>
      </c>
      <c r="E105" t="s">
        <v>198</v>
      </c>
      <c r="F105" t="s">
        <v>12</v>
      </c>
      <c r="G105" t="s">
        <v>47</v>
      </c>
    </row>
    <row r="106" spans="1:7" ht="15" customHeight="1" x14ac:dyDescent="0.25">
      <c r="A106" t="s">
        <v>199</v>
      </c>
      <c r="B106" t="s">
        <v>200</v>
      </c>
      <c r="C106" t="s">
        <v>9</v>
      </c>
      <c r="D106" t="s">
        <v>10</v>
      </c>
      <c r="E106" t="s">
        <v>201</v>
      </c>
      <c r="F106" t="s">
        <v>12</v>
      </c>
      <c r="G106" t="s">
        <v>47</v>
      </c>
    </row>
    <row r="107" spans="1:7" ht="15" customHeight="1" x14ac:dyDescent="0.25">
      <c r="A107" s="2" t="s">
        <v>202</v>
      </c>
      <c r="B107" s="2" t="s">
        <v>203</v>
      </c>
      <c r="C107" s="2" t="s">
        <v>204</v>
      </c>
      <c r="D107" s="2" t="s">
        <v>205</v>
      </c>
      <c r="E107" s="2" t="s">
        <v>206</v>
      </c>
      <c r="F107" s="2" t="s">
        <v>12</v>
      </c>
      <c r="G107" s="2" t="s">
        <v>207</v>
      </c>
    </row>
    <row r="108" spans="1:7" ht="15" customHeight="1" x14ac:dyDescent="0.25">
      <c r="A108" s="2" t="s">
        <v>202</v>
      </c>
      <c r="B108" s="2" t="s">
        <v>208</v>
      </c>
      <c r="C108" s="2" t="s">
        <v>204</v>
      </c>
      <c r="D108" s="2" t="s">
        <v>205</v>
      </c>
      <c r="E108" s="2" t="s">
        <v>209</v>
      </c>
      <c r="F108" s="2" t="s">
        <v>12</v>
      </c>
      <c r="G108" s="2" t="s">
        <v>207</v>
      </c>
    </row>
    <row r="109" spans="1:7" ht="15" customHeight="1" x14ac:dyDescent="0.25">
      <c r="A109" s="2" t="s">
        <v>202</v>
      </c>
      <c r="B109" s="2" t="s">
        <v>210</v>
      </c>
      <c r="C109" s="2" t="s">
        <v>204</v>
      </c>
      <c r="D109" s="2" t="s">
        <v>205</v>
      </c>
      <c r="E109" s="2" t="s">
        <v>211</v>
      </c>
      <c r="F109" s="2" t="s">
        <v>178</v>
      </c>
      <c r="G109" s="2" t="s">
        <v>207</v>
      </c>
    </row>
    <row r="110" spans="1:7" ht="15" customHeight="1" x14ac:dyDescent="0.25">
      <c r="A110" s="2" t="s">
        <v>202</v>
      </c>
      <c r="B110" s="2" t="s">
        <v>212</v>
      </c>
      <c r="C110" s="2" t="s">
        <v>204</v>
      </c>
      <c r="D110" s="2" t="s">
        <v>205</v>
      </c>
      <c r="E110" s="2" t="s">
        <v>213</v>
      </c>
      <c r="F110" s="2" t="s">
        <v>178</v>
      </c>
      <c r="G110" s="2" t="s">
        <v>207</v>
      </c>
    </row>
    <row r="111" spans="1:7" ht="15" customHeight="1" x14ac:dyDescent="0.25">
      <c r="A111" s="2" t="s">
        <v>214</v>
      </c>
      <c r="B111" s="2" t="s">
        <v>215</v>
      </c>
      <c r="C111" s="2" t="s">
        <v>216</v>
      </c>
      <c r="D111" s="2" t="s">
        <v>217</v>
      </c>
      <c r="E111" s="2" t="s">
        <v>218</v>
      </c>
      <c r="F111" s="2" t="s">
        <v>12</v>
      </c>
      <c r="G111" s="2" t="s">
        <v>207</v>
      </c>
    </row>
    <row r="112" spans="1:7" ht="15" customHeight="1" x14ac:dyDescent="0.25">
      <c r="A112" s="2" t="s">
        <v>214</v>
      </c>
      <c r="B112" s="2" t="s">
        <v>219</v>
      </c>
      <c r="C112" s="2" t="s">
        <v>216</v>
      </c>
      <c r="D112" s="2" t="s">
        <v>217</v>
      </c>
      <c r="E112" s="2" t="s">
        <v>220</v>
      </c>
      <c r="F112" s="2" t="s">
        <v>12</v>
      </c>
      <c r="G112" s="2" t="s">
        <v>207</v>
      </c>
    </row>
    <row r="113" spans="1:1" ht="15" customHeight="1" x14ac:dyDescent="0.25">
      <c r="A113" t="s">
        <v>221</v>
      </c>
    </row>
    <row r="114" spans="1:1" ht="15" customHeight="1" x14ac:dyDescent="0.25">
      <c r="A114" t="s">
        <v>222</v>
      </c>
    </row>
    <row r="115" spans="1:1" ht="15" customHeight="1" x14ac:dyDescent="0.25">
      <c r="A115" t="s">
        <v>223</v>
      </c>
    </row>
    <row r="116" spans="1:1" ht="15" customHeight="1" x14ac:dyDescent="0.25">
      <c r="A116" t="s">
        <v>224</v>
      </c>
    </row>
    <row r="117" spans="1:1" ht="15" customHeight="1" x14ac:dyDescent="0.25">
      <c r="A117" t="s">
        <v>225</v>
      </c>
    </row>
    <row r="118" spans="1:1" ht="15" customHeight="1" x14ac:dyDescent="0.25">
      <c r="A118" t="s">
        <v>226</v>
      </c>
    </row>
    <row r="119" spans="1:1" ht="15" customHeight="1" x14ac:dyDescent="0.25">
      <c r="A119" t="s">
        <v>227</v>
      </c>
    </row>
    <row r="120" spans="1:1" ht="15" customHeight="1" x14ac:dyDescent="0.25">
      <c r="A120" t="s">
        <v>228</v>
      </c>
    </row>
    <row r="122" spans="1:1" ht="15" customHeight="1" x14ac:dyDescent="0.25">
      <c r="A122" t="s">
        <v>229</v>
      </c>
    </row>
    <row r="123" spans="1:1" ht="15" customHeight="1" x14ac:dyDescent="0.25">
      <c r="A123" t="s">
        <v>230</v>
      </c>
    </row>
    <row r="124" spans="1:1" ht="15" customHeight="1" x14ac:dyDescent="0.25">
      <c r="A124" t="s">
        <v>231</v>
      </c>
    </row>
    <row r="125" spans="1:1" ht="15" customHeight="1" x14ac:dyDescent="0.25">
      <c r="A125" t="s">
        <v>232</v>
      </c>
    </row>
    <row r="126" spans="1:1" ht="15" customHeight="1" x14ac:dyDescent="0.25">
      <c r="A126" t="s">
        <v>233</v>
      </c>
    </row>
    <row r="127" spans="1:1" ht="15" customHeight="1" x14ac:dyDescent="0.25">
      <c r="A127" t="s">
        <v>234</v>
      </c>
    </row>
    <row r="129" spans="1:7" ht="15" customHeight="1" x14ac:dyDescent="0.25">
      <c r="A129" t="s">
        <v>235</v>
      </c>
    </row>
    <row r="130" spans="1:7" ht="15" customHeight="1" x14ac:dyDescent="0.25">
      <c r="A130" s="1" t="s">
        <v>0</v>
      </c>
      <c r="B130" s="1" t="s">
        <v>1</v>
      </c>
      <c r="C130" s="1" t="s">
        <v>2</v>
      </c>
      <c r="D130" s="1" t="s">
        <v>3</v>
      </c>
      <c r="E130" s="1" t="s">
        <v>4</v>
      </c>
      <c r="F130" s="1" t="s">
        <v>5</v>
      </c>
      <c r="G130" s="1" t="s">
        <v>6</v>
      </c>
    </row>
    <row r="131" spans="1:7" ht="15" customHeight="1" x14ac:dyDescent="0.25">
      <c r="A131" t="s">
        <v>7</v>
      </c>
      <c r="B131" t="s">
        <v>236</v>
      </c>
      <c r="C131" t="s">
        <v>237</v>
      </c>
      <c r="D131" t="s">
        <v>10</v>
      </c>
      <c r="E131" t="s">
        <v>238</v>
      </c>
      <c r="F131" t="s">
        <v>12</v>
      </c>
      <c r="G131" t="s">
        <v>239</v>
      </c>
    </row>
    <row r="132" spans="1:7" ht="15" customHeight="1" x14ac:dyDescent="0.25">
      <c r="A132" t="s">
        <v>7</v>
      </c>
      <c r="B132" t="s">
        <v>240</v>
      </c>
      <c r="C132" t="s">
        <v>237</v>
      </c>
      <c r="D132" t="s">
        <v>10</v>
      </c>
      <c r="E132" t="s">
        <v>241</v>
      </c>
      <c r="F132" t="s">
        <v>12</v>
      </c>
      <c r="G132" t="s">
        <v>239</v>
      </c>
    </row>
    <row r="133" spans="1:7" ht="15" customHeight="1" x14ac:dyDescent="0.25">
      <c r="A133" t="s">
        <v>7</v>
      </c>
      <c r="B133" t="s">
        <v>16</v>
      </c>
      <c r="C133" t="s">
        <v>237</v>
      </c>
      <c r="D133" t="s">
        <v>10</v>
      </c>
      <c r="E133" t="s">
        <v>242</v>
      </c>
      <c r="F133" t="s">
        <v>12</v>
      </c>
      <c r="G133" t="s">
        <v>239</v>
      </c>
    </row>
    <row r="134" spans="1:7" ht="15" customHeight="1" x14ac:dyDescent="0.25">
      <c r="A134" t="s">
        <v>7</v>
      </c>
      <c r="B134" t="s">
        <v>243</v>
      </c>
      <c r="C134" t="s">
        <v>237</v>
      </c>
      <c r="D134" t="s">
        <v>10</v>
      </c>
      <c r="E134" t="s">
        <v>244</v>
      </c>
      <c r="F134" t="s">
        <v>12</v>
      </c>
      <c r="G134" t="s">
        <v>239</v>
      </c>
    </row>
    <row r="135" spans="1:7" ht="15" customHeight="1" x14ac:dyDescent="0.25">
      <c r="A135" t="s">
        <v>7</v>
      </c>
      <c r="B135" t="s">
        <v>245</v>
      </c>
      <c r="C135" t="s">
        <v>237</v>
      </c>
      <c r="D135" t="s">
        <v>10</v>
      </c>
      <c r="E135" t="s">
        <v>246</v>
      </c>
      <c r="F135" t="s">
        <v>12</v>
      </c>
      <c r="G135" t="s">
        <v>239</v>
      </c>
    </row>
    <row r="136" spans="1:7" ht="15" customHeight="1" x14ac:dyDescent="0.25">
      <c r="A136" t="s">
        <v>7</v>
      </c>
      <c r="B136" t="s">
        <v>247</v>
      </c>
      <c r="C136" t="s">
        <v>237</v>
      </c>
      <c r="D136" t="s">
        <v>10</v>
      </c>
      <c r="E136" t="s">
        <v>248</v>
      </c>
      <c r="F136" t="s">
        <v>12</v>
      </c>
      <c r="G136" t="s">
        <v>239</v>
      </c>
    </row>
    <row r="137" spans="1:7" ht="15" customHeight="1" x14ac:dyDescent="0.25">
      <c r="A137" t="s">
        <v>7</v>
      </c>
      <c r="B137" t="s">
        <v>249</v>
      </c>
      <c r="C137" t="s">
        <v>237</v>
      </c>
      <c r="D137" t="s">
        <v>10</v>
      </c>
      <c r="E137" t="s">
        <v>250</v>
      </c>
      <c r="F137" t="s">
        <v>12</v>
      </c>
      <c r="G137" t="s">
        <v>239</v>
      </c>
    </row>
    <row r="138" spans="1:7" ht="15" customHeight="1" x14ac:dyDescent="0.25">
      <c r="A138" t="s">
        <v>7</v>
      </c>
      <c r="B138" t="s">
        <v>251</v>
      </c>
      <c r="C138" t="s">
        <v>237</v>
      </c>
      <c r="D138" t="s">
        <v>10</v>
      </c>
      <c r="E138" t="s">
        <v>252</v>
      </c>
      <c r="F138" t="s">
        <v>12</v>
      </c>
      <c r="G138" t="s">
        <v>239</v>
      </c>
    </row>
    <row r="139" spans="1:7" ht="15" customHeight="1" x14ac:dyDescent="0.25">
      <c r="A139" t="s">
        <v>7</v>
      </c>
      <c r="B139" t="s">
        <v>253</v>
      </c>
      <c r="C139" t="s">
        <v>237</v>
      </c>
      <c r="D139" t="s">
        <v>10</v>
      </c>
      <c r="E139" t="s">
        <v>254</v>
      </c>
      <c r="F139" t="s">
        <v>12</v>
      </c>
      <c r="G139" t="s">
        <v>239</v>
      </c>
    </row>
    <row r="140" spans="1:7" ht="15" customHeight="1" x14ac:dyDescent="0.25">
      <c r="A140" t="s">
        <v>7</v>
      </c>
      <c r="B140" t="s">
        <v>255</v>
      </c>
      <c r="C140" t="s">
        <v>237</v>
      </c>
      <c r="D140" t="s">
        <v>10</v>
      </c>
      <c r="E140" t="s">
        <v>256</v>
      </c>
      <c r="F140" t="s">
        <v>12</v>
      </c>
      <c r="G140" t="s">
        <v>239</v>
      </c>
    </row>
    <row r="141" spans="1:7" ht="15" customHeight="1" x14ac:dyDescent="0.25">
      <c r="A141" t="s">
        <v>7</v>
      </c>
      <c r="B141" t="s">
        <v>257</v>
      </c>
      <c r="C141" t="s">
        <v>237</v>
      </c>
      <c r="D141" t="s">
        <v>10</v>
      </c>
      <c r="E141" t="s">
        <v>256</v>
      </c>
      <c r="F141" t="s">
        <v>12</v>
      </c>
      <c r="G141" t="s">
        <v>239</v>
      </c>
    </row>
    <row r="142" spans="1:7" ht="15" customHeight="1" x14ac:dyDescent="0.25">
      <c r="A142" t="s">
        <v>7</v>
      </c>
      <c r="B142" t="s">
        <v>33</v>
      </c>
      <c r="C142" t="s">
        <v>237</v>
      </c>
      <c r="D142" t="s">
        <v>10</v>
      </c>
      <c r="E142" t="s">
        <v>258</v>
      </c>
      <c r="F142" t="s">
        <v>12</v>
      </c>
      <c r="G142" t="s">
        <v>239</v>
      </c>
    </row>
    <row r="143" spans="1:7" ht="15" customHeight="1" x14ac:dyDescent="0.25">
      <c r="A143" t="s">
        <v>7</v>
      </c>
      <c r="B143" t="s">
        <v>259</v>
      </c>
      <c r="C143" t="s">
        <v>237</v>
      </c>
      <c r="D143" t="s">
        <v>10</v>
      </c>
      <c r="E143" t="s">
        <v>260</v>
      </c>
      <c r="F143" t="s">
        <v>12</v>
      </c>
      <c r="G143" t="s">
        <v>239</v>
      </c>
    </row>
    <row r="144" spans="1:7" ht="15" customHeight="1" x14ac:dyDescent="0.25">
      <c r="A144" t="s">
        <v>7</v>
      </c>
      <c r="B144" t="s">
        <v>261</v>
      </c>
      <c r="C144" t="s">
        <v>237</v>
      </c>
      <c r="D144" t="s">
        <v>10</v>
      </c>
      <c r="E144" t="s">
        <v>262</v>
      </c>
      <c r="F144" t="s">
        <v>12</v>
      </c>
      <c r="G144" t="s">
        <v>239</v>
      </c>
    </row>
    <row r="145" spans="1:7" ht="15" customHeight="1" x14ac:dyDescent="0.25">
      <c r="A145" t="s">
        <v>7</v>
      </c>
      <c r="B145" t="s">
        <v>263</v>
      </c>
      <c r="C145" t="s">
        <v>237</v>
      </c>
      <c r="D145" t="s">
        <v>10</v>
      </c>
      <c r="E145" t="s">
        <v>264</v>
      </c>
      <c r="F145" t="s">
        <v>12</v>
      </c>
      <c r="G145" t="s">
        <v>239</v>
      </c>
    </row>
    <row r="146" spans="1:7" ht="15" customHeight="1" x14ac:dyDescent="0.25">
      <c r="A146" t="s">
        <v>48</v>
      </c>
      <c r="B146" t="s">
        <v>236</v>
      </c>
      <c r="C146" t="s">
        <v>237</v>
      </c>
      <c r="D146" t="s">
        <v>10</v>
      </c>
      <c r="E146" t="s">
        <v>265</v>
      </c>
      <c r="F146" t="s">
        <v>12</v>
      </c>
      <c r="G146" t="s">
        <v>239</v>
      </c>
    </row>
    <row r="147" spans="1:7" ht="15" customHeight="1" x14ac:dyDescent="0.25">
      <c r="A147" t="s">
        <v>48</v>
      </c>
      <c r="B147" t="s">
        <v>240</v>
      </c>
      <c r="C147" t="s">
        <v>237</v>
      </c>
      <c r="D147" t="s">
        <v>10</v>
      </c>
      <c r="E147" t="s">
        <v>266</v>
      </c>
      <c r="F147" t="s">
        <v>12</v>
      </c>
      <c r="G147" t="s">
        <v>239</v>
      </c>
    </row>
    <row r="148" spans="1:7" ht="15" customHeight="1" x14ac:dyDescent="0.25">
      <c r="A148" t="s">
        <v>48</v>
      </c>
      <c r="B148" t="s">
        <v>16</v>
      </c>
      <c r="C148" t="s">
        <v>237</v>
      </c>
      <c r="D148" t="s">
        <v>10</v>
      </c>
      <c r="E148" t="s">
        <v>267</v>
      </c>
      <c r="F148" t="s">
        <v>12</v>
      </c>
      <c r="G148" t="s">
        <v>239</v>
      </c>
    </row>
    <row r="149" spans="1:7" ht="15" customHeight="1" x14ac:dyDescent="0.25">
      <c r="A149" t="s">
        <v>48</v>
      </c>
      <c r="B149" t="s">
        <v>243</v>
      </c>
      <c r="C149" t="s">
        <v>237</v>
      </c>
      <c r="D149" t="s">
        <v>10</v>
      </c>
      <c r="E149" t="s">
        <v>268</v>
      </c>
      <c r="F149" t="s">
        <v>12</v>
      </c>
      <c r="G149" t="s">
        <v>239</v>
      </c>
    </row>
    <row r="150" spans="1:7" ht="15" customHeight="1" x14ac:dyDescent="0.25">
      <c r="A150" t="s">
        <v>48</v>
      </c>
      <c r="B150" t="s">
        <v>245</v>
      </c>
      <c r="C150" t="s">
        <v>237</v>
      </c>
      <c r="D150" t="s">
        <v>10</v>
      </c>
      <c r="E150" t="s">
        <v>269</v>
      </c>
      <c r="F150" t="s">
        <v>12</v>
      </c>
      <c r="G150" t="s">
        <v>239</v>
      </c>
    </row>
    <row r="151" spans="1:7" ht="15" customHeight="1" x14ac:dyDescent="0.25">
      <c r="A151" t="s">
        <v>48</v>
      </c>
      <c r="B151" t="s">
        <v>247</v>
      </c>
      <c r="C151" t="s">
        <v>237</v>
      </c>
      <c r="D151" t="s">
        <v>10</v>
      </c>
      <c r="E151" t="s">
        <v>270</v>
      </c>
      <c r="F151" t="s">
        <v>12</v>
      </c>
      <c r="G151" t="s">
        <v>239</v>
      </c>
    </row>
    <row r="152" spans="1:7" ht="15" customHeight="1" x14ac:dyDescent="0.25">
      <c r="A152" t="s">
        <v>48</v>
      </c>
      <c r="B152" t="s">
        <v>249</v>
      </c>
      <c r="C152" t="s">
        <v>237</v>
      </c>
      <c r="D152" t="s">
        <v>10</v>
      </c>
      <c r="E152" t="s">
        <v>271</v>
      </c>
      <c r="F152" t="s">
        <v>12</v>
      </c>
      <c r="G152" t="s">
        <v>239</v>
      </c>
    </row>
    <row r="153" spans="1:7" ht="15" customHeight="1" x14ac:dyDescent="0.25">
      <c r="A153" t="s">
        <v>48</v>
      </c>
      <c r="B153" t="s">
        <v>251</v>
      </c>
      <c r="C153" t="s">
        <v>237</v>
      </c>
      <c r="D153" t="s">
        <v>10</v>
      </c>
      <c r="E153" t="s">
        <v>272</v>
      </c>
      <c r="F153" t="s">
        <v>12</v>
      </c>
      <c r="G153" t="s">
        <v>239</v>
      </c>
    </row>
    <row r="154" spans="1:7" ht="15" customHeight="1" x14ac:dyDescent="0.25">
      <c r="A154" t="s">
        <v>48</v>
      </c>
      <c r="B154" t="s">
        <v>253</v>
      </c>
      <c r="C154" t="s">
        <v>237</v>
      </c>
      <c r="D154" t="s">
        <v>10</v>
      </c>
      <c r="E154" t="s">
        <v>273</v>
      </c>
      <c r="F154" t="s">
        <v>12</v>
      </c>
      <c r="G154" t="s">
        <v>239</v>
      </c>
    </row>
    <row r="155" spans="1:7" ht="15" customHeight="1" x14ac:dyDescent="0.25">
      <c r="A155" t="s">
        <v>48</v>
      </c>
      <c r="B155" t="s">
        <v>255</v>
      </c>
      <c r="C155" t="s">
        <v>237</v>
      </c>
      <c r="D155" t="s">
        <v>10</v>
      </c>
      <c r="E155" t="s">
        <v>274</v>
      </c>
      <c r="F155" t="s">
        <v>12</v>
      </c>
      <c r="G155" t="s">
        <v>239</v>
      </c>
    </row>
    <row r="156" spans="1:7" ht="15" customHeight="1" x14ac:dyDescent="0.25">
      <c r="A156" t="s">
        <v>48</v>
      </c>
      <c r="B156" t="s">
        <v>257</v>
      </c>
      <c r="C156" t="s">
        <v>237</v>
      </c>
      <c r="D156" t="s">
        <v>10</v>
      </c>
      <c r="E156" t="s">
        <v>274</v>
      </c>
      <c r="F156" t="s">
        <v>12</v>
      </c>
      <c r="G156" t="s">
        <v>239</v>
      </c>
    </row>
    <row r="157" spans="1:7" ht="15" customHeight="1" x14ac:dyDescent="0.25">
      <c r="A157" t="s">
        <v>48</v>
      </c>
      <c r="B157" t="s">
        <v>33</v>
      </c>
      <c r="C157" t="s">
        <v>237</v>
      </c>
      <c r="D157" t="s">
        <v>10</v>
      </c>
      <c r="E157" t="s">
        <v>275</v>
      </c>
      <c r="F157" t="s">
        <v>12</v>
      </c>
      <c r="G157" t="s">
        <v>239</v>
      </c>
    </row>
    <row r="158" spans="1:7" ht="15" customHeight="1" x14ac:dyDescent="0.25">
      <c r="A158" t="s">
        <v>48</v>
      </c>
      <c r="B158" t="s">
        <v>259</v>
      </c>
      <c r="C158" t="s">
        <v>237</v>
      </c>
      <c r="D158" t="s">
        <v>10</v>
      </c>
      <c r="E158" t="s">
        <v>276</v>
      </c>
      <c r="F158" t="s">
        <v>12</v>
      </c>
      <c r="G158" t="s">
        <v>239</v>
      </c>
    </row>
    <row r="159" spans="1:7" ht="15" customHeight="1" x14ac:dyDescent="0.25">
      <c r="A159" t="s">
        <v>48</v>
      </c>
      <c r="B159" t="s">
        <v>261</v>
      </c>
      <c r="C159" t="s">
        <v>237</v>
      </c>
      <c r="D159" t="s">
        <v>10</v>
      </c>
      <c r="E159" t="s">
        <v>277</v>
      </c>
      <c r="F159" t="s">
        <v>12</v>
      </c>
      <c r="G159" t="s">
        <v>239</v>
      </c>
    </row>
    <row r="160" spans="1:7" ht="15" customHeight="1" x14ac:dyDescent="0.25">
      <c r="A160" t="s">
        <v>48</v>
      </c>
      <c r="B160" t="s">
        <v>263</v>
      </c>
      <c r="C160" t="s">
        <v>237</v>
      </c>
      <c r="D160" t="s">
        <v>10</v>
      </c>
      <c r="E160" t="s">
        <v>278</v>
      </c>
      <c r="F160" t="s">
        <v>12</v>
      </c>
      <c r="G160" t="s">
        <v>239</v>
      </c>
    </row>
    <row r="161" spans="1:7" ht="15" customHeight="1" x14ac:dyDescent="0.25">
      <c r="A161" t="s">
        <v>55</v>
      </c>
      <c r="B161" t="s">
        <v>236</v>
      </c>
      <c r="C161" t="s">
        <v>237</v>
      </c>
      <c r="D161" t="s">
        <v>10</v>
      </c>
      <c r="E161" t="s">
        <v>279</v>
      </c>
      <c r="F161" t="s">
        <v>12</v>
      </c>
      <c r="G161" t="s">
        <v>239</v>
      </c>
    </row>
    <row r="162" spans="1:7" ht="15" customHeight="1" x14ac:dyDescent="0.25">
      <c r="A162" t="s">
        <v>55</v>
      </c>
      <c r="B162" t="s">
        <v>240</v>
      </c>
      <c r="C162" t="s">
        <v>237</v>
      </c>
      <c r="D162" t="s">
        <v>10</v>
      </c>
      <c r="E162" t="s">
        <v>280</v>
      </c>
      <c r="F162" t="s">
        <v>12</v>
      </c>
      <c r="G162" t="s">
        <v>239</v>
      </c>
    </row>
    <row r="163" spans="1:7" ht="15" customHeight="1" x14ac:dyDescent="0.25">
      <c r="A163" t="s">
        <v>55</v>
      </c>
      <c r="B163" t="s">
        <v>16</v>
      </c>
      <c r="C163" t="s">
        <v>237</v>
      </c>
      <c r="D163" t="s">
        <v>10</v>
      </c>
      <c r="E163" t="s">
        <v>281</v>
      </c>
      <c r="F163" t="s">
        <v>12</v>
      </c>
      <c r="G163" t="s">
        <v>239</v>
      </c>
    </row>
    <row r="164" spans="1:7" ht="15" customHeight="1" x14ac:dyDescent="0.25">
      <c r="A164" t="s">
        <v>55</v>
      </c>
      <c r="B164" t="s">
        <v>243</v>
      </c>
      <c r="C164" t="s">
        <v>237</v>
      </c>
      <c r="D164" t="s">
        <v>10</v>
      </c>
      <c r="E164" t="s">
        <v>282</v>
      </c>
      <c r="F164" t="s">
        <v>12</v>
      </c>
      <c r="G164" t="s">
        <v>239</v>
      </c>
    </row>
    <row r="165" spans="1:7" ht="15" customHeight="1" x14ac:dyDescent="0.25">
      <c r="A165" t="s">
        <v>55</v>
      </c>
      <c r="B165" t="s">
        <v>245</v>
      </c>
      <c r="C165" t="s">
        <v>237</v>
      </c>
      <c r="D165" t="s">
        <v>10</v>
      </c>
      <c r="E165" t="s">
        <v>283</v>
      </c>
      <c r="F165" t="s">
        <v>12</v>
      </c>
      <c r="G165" t="s">
        <v>239</v>
      </c>
    </row>
    <row r="166" spans="1:7" ht="15" customHeight="1" x14ac:dyDescent="0.25">
      <c r="A166" t="s">
        <v>55</v>
      </c>
      <c r="B166" t="s">
        <v>247</v>
      </c>
      <c r="C166" t="s">
        <v>237</v>
      </c>
      <c r="D166" t="s">
        <v>10</v>
      </c>
      <c r="E166" t="s">
        <v>284</v>
      </c>
      <c r="F166" t="s">
        <v>12</v>
      </c>
      <c r="G166" t="s">
        <v>239</v>
      </c>
    </row>
    <row r="167" spans="1:7" ht="15" customHeight="1" x14ac:dyDescent="0.25">
      <c r="A167" t="s">
        <v>55</v>
      </c>
      <c r="B167" t="s">
        <v>249</v>
      </c>
      <c r="C167" t="s">
        <v>237</v>
      </c>
      <c r="D167" t="s">
        <v>10</v>
      </c>
      <c r="E167" t="s">
        <v>285</v>
      </c>
      <c r="F167" t="s">
        <v>12</v>
      </c>
      <c r="G167" t="s">
        <v>239</v>
      </c>
    </row>
    <row r="168" spans="1:7" ht="15" customHeight="1" x14ac:dyDescent="0.25">
      <c r="A168" t="s">
        <v>55</v>
      </c>
      <c r="B168" t="s">
        <v>251</v>
      </c>
      <c r="C168" t="s">
        <v>237</v>
      </c>
      <c r="D168" t="s">
        <v>10</v>
      </c>
      <c r="E168" t="s">
        <v>286</v>
      </c>
      <c r="F168" t="s">
        <v>12</v>
      </c>
      <c r="G168" t="s">
        <v>239</v>
      </c>
    </row>
    <row r="169" spans="1:7" ht="15" customHeight="1" x14ac:dyDescent="0.25">
      <c r="A169" t="s">
        <v>55</v>
      </c>
      <c r="B169" t="s">
        <v>253</v>
      </c>
      <c r="C169" t="s">
        <v>237</v>
      </c>
      <c r="D169" t="s">
        <v>10</v>
      </c>
      <c r="E169" t="s">
        <v>287</v>
      </c>
      <c r="F169" t="s">
        <v>12</v>
      </c>
      <c r="G169" t="s">
        <v>239</v>
      </c>
    </row>
    <row r="170" spans="1:7" ht="15" customHeight="1" x14ac:dyDescent="0.25">
      <c r="A170" t="s">
        <v>55</v>
      </c>
      <c r="B170" t="s">
        <v>255</v>
      </c>
      <c r="C170" t="s">
        <v>237</v>
      </c>
      <c r="D170" t="s">
        <v>10</v>
      </c>
      <c r="E170" t="s">
        <v>288</v>
      </c>
      <c r="F170" t="s">
        <v>12</v>
      </c>
      <c r="G170" t="s">
        <v>239</v>
      </c>
    </row>
    <row r="171" spans="1:7" ht="15" customHeight="1" x14ac:dyDescent="0.25">
      <c r="A171" t="s">
        <v>55</v>
      </c>
      <c r="B171" t="s">
        <v>257</v>
      </c>
      <c r="C171" t="s">
        <v>237</v>
      </c>
      <c r="D171" t="s">
        <v>10</v>
      </c>
      <c r="E171" t="s">
        <v>288</v>
      </c>
      <c r="F171" t="s">
        <v>12</v>
      </c>
      <c r="G171" t="s">
        <v>239</v>
      </c>
    </row>
    <row r="172" spans="1:7" ht="15" customHeight="1" x14ac:dyDescent="0.25">
      <c r="A172" t="s">
        <v>55</v>
      </c>
      <c r="B172" t="s">
        <v>33</v>
      </c>
      <c r="C172" t="s">
        <v>237</v>
      </c>
      <c r="D172" t="s">
        <v>10</v>
      </c>
      <c r="E172" t="s">
        <v>289</v>
      </c>
      <c r="F172" t="s">
        <v>12</v>
      </c>
      <c r="G172" t="s">
        <v>239</v>
      </c>
    </row>
    <row r="173" spans="1:7" ht="15" customHeight="1" x14ac:dyDescent="0.25">
      <c r="A173" t="s">
        <v>55</v>
      </c>
      <c r="B173" t="s">
        <v>259</v>
      </c>
      <c r="C173" t="s">
        <v>237</v>
      </c>
      <c r="D173" t="s">
        <v>10</v>
      </c>
      <c r="E173" t="s">
        <v>290</v>
      </c>
      <c r="F173" t="s">
        <v>12</v>
      </c>
      <c r="G173" t="s">
        <v>239</v>
      </c>
    </row>
    <row r="174" spans="1:7" ht="15" customHeight="1" x14ac:dyDescent="0.25">
      <c r="A174" t="s">
        <v>55</v>
      </c>
      <c r="B174" t="s">
        <v>261</v>
      </c>
      <c r="C174" t="s">
        <v>237</v>
      </c>
      <c r="D174" t="s">
        <v>10</v>
      </c>
      <c r="E174" t="s">
        <v>291</v>
      </c>
      <c r="F174" t="s">
        <v>12</v>
      </c>
      <c r="G174" t="s">
        <v>239</v>
      </c>
    </row>
    <row r="175" spans="1:7" ht="15" customHeight="1" x14ac:dyDescent="0.25">
      <c r="A175" t="s">
        <v>55</v>
      </c>
      <c r="B175" t="s">
        <v>263</v>
      </c>
      <c r="C175" t="s">
        <v>237</v>
      </c>
      <c r="D175" t="s">
        <v>10</v>
      </c>
      <c r="E175" t="s">
        <v>292</v>
      </c>
      <c r="F175" t="s">
        <v>12</v>
      </c>
      <c r="G175" t="s">
        <v>239</v>
      </c>
    </row>
    <row r="176" spans="1:7" ht="15" customHeight="1" x14ac:dyDescent="0.25">
      <c r="A176" t="s">
        <v>70</v>
      </c>
      <c r="B176" t="s">
        <v>236</v>
      </c>
      <c r="C176" t="s">
        <v>237</v>
      </c>
      <c r="D176" t="s">
        <v>10</v>
      </c>
      <c r="E176" t="s">
        <v>293</v>
      </c>
      <c r="F176" t="s">
        <v>12</v>
      </c>
      <c r="G176" t="s">
        <v>239</v>
      </c>
    </row>
    <row r="177" spans="1:7" ht="15" customHeight="1" x14ac:dyDescent="0.25">
      <c r="A177" t="s">
        <v>70</v>
      </c>
      <c r="B177" t="s">
        <v>240</v>
      </c>
      <c r="C177" t="s">
        <v>237</v>
      </c>
      <c r="D177" t="s">
        <v>10</v>
      </c>
      <c r="E177" t="s">
        <v>294</v>
      </c>
      <c r="F177" t="s">
        <v>12</v>
      </c>
      <c r="G177" t="s">
        <v>239</v>
      </c>
    </row>
    <row r="178" spans="1:7" ht="15" customHeight="1" x14ac:dyDescent="0.25">
      <c r="A178" t="s">
        <v>70</v>
      </c>
      <c r="B178" t="s">
        <v>16</v>
      </c>
      <c r="C178" t="s">
        <v>237</v>
      </c>
      <c r="D178" t="s">
        <v>10</v>
      </c>
      <c r="E178" t="s">
        <v>295</v>
      </c>
      <c r="F178" t="s">
        <v>12</v>
      </c>
      <c r="G178" t="s">
        <v>239</v>
      </c>
    </row>
    <row r="179" spans="1:7" ht="15" customHeight="1" x14ac:dyDescent="0.25">
      <c r="A179" t="s">
        <v>70</v>
      </c>
      <c r="B179" t="s">
        <v>243</v>
      </c>
      <c r="C179" t="s">
        <v>237</v>
      </c>
      <c r="D179" t="s">
        <v>10</v>
      </c>
      <c r="E179" t="s">
        <v>296</v>
      </c>
      <c r="F179" t="s">
        <v>12</v>
      </c>
      <c r="G179" t="s">
        <v>239</v>
      </c>
    </row>
    <row r="180" spans="1:7" ht="15" customHeight="1" x14ac:dyDescent="0.25">
      <c r="A180" t="s">
        <v>70</v>
      </c>
      <c r="B180" t="s">
        <v>245</v>
      </c>
      <c r="C180" t="s">
        <v>237</v>
      </c>
      <c r="D180" t="s">
        <v>10</v>
      </c>
      <c r="E180" t="s">
        <v>297</v>
      </c>
      <c r="F180" t="s">
        <v>12</v>
      </c>
      <c r="G180" t="s">
        <v>239</v>
      </c>
    </row>
    <row r="181" spans="1:7" ht="15" customHeight="1" x14ac:dyDescent="0.25">
      <c r="A181" t="s">
        <v>70</v>
      </c>
      <c r="B181" t="s">
        <v>247</v>
      </c>
      <c r="C181" t="s">
        <v>237</v>
      </c>
      <c r="D181" t="s">
        <v>10</v>
      </c>
      <c r="E181" t="s">
        <v>298</v>
      </c>
      <c r="F181" t="s">
        <v>12</v>
      </c>
      <c r="G181" t="s">
        <v>239</v>
      </c>
    </row>
    <row r="182" spans="1:7" ht="15" customHeight="1" x14ac:dyDescent="0.25">
      <c r="A182" t="s">
        <v>70</v>
      </c>
      <c r="B182" t="s">
        <v>249</v>
      </c>
      <c r="C182" t="s">
        <v>237</v>
      </c>
      <c r="D182" t="s">
        <v>10</v>
      </c>
      <c r="E182" t="s">
        <v>299</v>
      </c>
      <c r="F182" t="s">
        <v>12</v>
      </c>
      <c r="G182" t="s">
        <v>239</v>
      </c>
    </row>
    <row r="183" spans="1:7" ht="15" customHeight="1" x14ac:dyDescent="0.25">
      <c r="A183" t="s">
        <v>70</v>
      </c>
      <c r="B183" t="s">
        <v>251</v>
      </c>
      <c r="C183" t="s">
        <v>237</v>
      </c>
      <c r="D183" t="s">
        <v>10</v>
      </c>
      <c r="E183" t="s">
        <v>300</v>
      </c>
      <c r="F183" t="s">
        <v>12</v>
      </c>
      <c r="G183" t="s">
        <v>239</v>
      </c>
    </row>
    <row r="184" spans="1:7" ht="15" customHeight="1" x14ac:dyDescent="0.25">
      <c r="A184" t="s">
        <v>70</v>
      </c>
      <c r="B184" t="s">
        <v>253</v>
      </c>
      <c r="C184" t="s">
        <v>237</v>
      </c>
      <c r="D184" t="s">
        <v>10</v>
      </c>
      <c r="E184" t="s">
        <v>301</v>
      </c>
      <c r="F184" t="s">
        <v>12</v>
      </c>
      <c r="G184" t="s">
        <v>239</v>
      </c>
    </row>
    <row r="185" spans="1:7" ht="15" customHeight="1" x14ac:dyDescent="0.25">
      <c r="A185" t="s">
        <v>70</v>
      </c>
      <c r="B185" t="s">
        <v>255</v>
      </c>
      <c r="C185" t="s">
        <v>237</v>
      </c>
      <c r="D185" t="s">
        <v>10</v>
      </c>
      <c r="E185" t="s">
        <v>302</v>
      </c>
      <c r="F185" t="s">
        <v>12</v>
      </c>
      <c r="G185" t="s">
        <v>239</v>
      </c>
    </row>
    <row r="186" spans="1:7" ht="15" customHeight="1" x14ac:dyDescent="0.25">
      <c r="A186" t="s">
        <v>70</v>
      </c>
      <c r="B186" t="s">
        <v>257</v>
      </c>
      <c r="C186" t="s">
        <v>237</v>
      </c>
      <c r="D186" t="s">
        <v>10</v>
      </c>
      <c r="E186" t="s">
        <v>302</v>
      </c>
      <c r="F186" t="s">
        <v>12</v>
      </c>
      <c r="G186" t="s">
        <v>239</v>
      </c>
    </row>
    <row r="187" spans="1:7" ht="15" customHeight="1" x14ac:dyDescent="0.25">
      <c r="A187" t="s">
        <v>70</v>
      </c>
      <c r="B187" t="s">
        <v>33</v>
      </c>
      <c r="C187" t="s">
        <v>237</v>
      </c>
      <c r="D187" t="s">
        <v>10</v>
      </c>
      <c r="E187" t="s">
        <v>303</v>
      </c>
      <c r="F187" t="s">
        <v>12</v>
      </c>
      <c r="G187" t="s">
        <v>239</v>
      </c>
    </row>
    <row r="188" spans="1:7" ht="15" customHeight="1" x14ac:dyDescent="0.25">
      <c r="A188" t="s">
        <v>70</v>
      </c>
      <c r="B188" t="s">
        <v>259</v>
      </c>
      <c r="C188" t="s">
        <v>237</v>
      </c>
      <c r="D188" t="s">
        <v>10</v>
      </c>
      <c r="E188" t="s">
        <v>304</v>
      </c>
      <c r="F188" t="s">
        <v>12</v>
      </c>
      <c r="G188" t="s">
        <v>239</v>
      </c>
    </row>
    <row r="189" spans="1:7" ht="15" customHeight="1" x14ac:dyDescent="0.25">
      <c r="A189" t="s">
        <v>70</v>
      </c>
      <c r="B189" t="s">
        <v>261</v>
      </c>
      <c r="C189" t="s">
        <v>237</v>
      </c>
      <c r="D189" t="s">
        <v>10</v>
      </c>
      <c r="E189" t="s">
        <v>305</v>
      </c>
      <c r="F189" t="s">
        <v>12</v>
      </c>
      <c r="G189" t="s">
        <v>239</v>
      </c>
    </row>
    <row r="190" spans="1:7" ht="15" customHeight="1" x14ac:dyDescent="0.25">
      <c r="A190" t="s">
        <v>70</v>
      </c>
      <c r="B190" t="s">
        <v>263</v>
      </c>
      <c r="C190" t="s">
        <v>237</v>
      </c>
      <c r="D190" t="s">
        <v>10</v>
      </c>
      <c r="E190" t="s">
        <v>306</v>
      </c>
      <c r="F190" t="s">
        <v>12</v>
      </c>
      <c r="G190" t="s">
        <v>239</v>
      </c>
    </row>
    <row r="191" spans="1:7" ht="15" customHeight="1" x14ac:dyDescent="0.25">
      <c r="A191" t="s">
        <v>79</v>
      </c>
      <c r="B191" t="s">
        <v>236</v>
      </c>
      <c r="C191" t="s">
        <v>237</v>
      </c>
      <c r="D191" t="s">
        <v>10</v>
      </c>
      <c r="E191" t="s">
        <v>307</v>
      </c>
      <c r="F191" t="s">
        <v>12</v>
      </c>
      <c r="G191" t="s">
        <v>239</v>
      </c>
    </row>
    <row r="192" spans="1:7" ht="15" customHeight="1" x14ac:dyDescent="0.25">
      <c r="A192" t="s">
        <v>79</v>
      </c>
      <c r="B192" t="s">
        <v>240</v>
      </c>
      <c r="C192" t="s">
        <v>237</v>
      </c>
      <c r="D192" t="s">
        <v>10</v>
      </c>
      <c r="E192" t="s">
        <v>308</v>
      </c>
      <c r="F192" t="s">
        <v>12</v>
      </c>
      <c r="G192" t="s">
        <v>239</v>
      </c>
    </row>
    <row r="193" spans="1:7" ht="15" customHeight="1" x14ac:dyDescent="0.25">
      <c r="A193" t="s">
        <v>79</v>
      </c>
      <c r="B193" t="s">
        <v>16</v>
      </c>
      <c r="C193" t="s">
        <v>237</v>
      </c>
      <c r="D193" t="s">
        <v>10</v>
      </c>
      <c r="E193" t="s">
        <v>309</v>
      </c>
      <c r="F193" t="s">
        <v>12</v>
      </c>
      <c r="G193" t="s">
        <v>239</v>
      </c>
    </row>
    <row r="194" spans="1:7" ht="15" customHeight="1" x14ac:dyDescent="0.25">
      <c r="A194" t="s">
        <v>79</v>
      </c>
      <c r="B194" t="s">
        <v>243</v>
      </c>
      <c r="C194" t="s">
        <v>237</v>
      </c>
      <c r="D194" t="s">
        <v>10</v>
      </c>
      <c r="E194" t="s">
        <v>310</v>
      </c>
      <c r="F194" t="s">
        <v>12</v>
      </c>
      <c r="G194" t="s">
        <v>239</v>
      </c>
    </row>
    <row r="195" spans="1:7" ht="15" customHeight="1" x14ac:dyDescent="0.25">
      <c r="A195" t="s">
        <v>79</v>
      </c>
      <c r="B195" t="s">
        <v>245</v>
      </c>
      <c r="C195" t="s">
        <v>237</v>
      </c>
      <c r="D195" t="s">
        <v>10</v>
      </c>
      <c r="E195" t="s">
        <v>311</v>
      </c>
      <c r="F195" t="s">
        <v>12</v>
      </c>
      <c r="G195" t="s">
        <v>239</v>
      </c>
    </row>
    <row r="196" spans="1:7" ht="15" customHeight="1" x14ac:dyDescent="0.25">
      <c r="A196" t="s">
        <v>79</v>
      </c>
      <c r="B196" t="s">
        <v>247</v>
      </c>
      <c r="C196" t="s">
        <v>237</v>
      </c>
      <c r="D196" t="s">
        <v>10</v>
      </c>
      <c r="E196" t="s">
        <v>312</v>
      </c>
      <c r="F196" t="s">
        <v>12</v>
      </c>
      <c r="G196" t="s">
        <v>239</v>
      </c>
    </row>
    <row r="197" spans="1:7" ht="15" customHeight="1" x14ac:dyDescent="0.25">
      <c r="A197" t="s">
        <v>79</v>
      </c>
      <c r="B197" t="s">
        <v>249</v>
      </c>
      <c r="C197" t="s">
        <v>237</v>
      </c>
      <c r="D197" t="s">
        <v>10</v>
      </c>
      <c r="E197" t="s">
        <v>313</v>
      </c>
      <c r="F197" t="s">
        <v>12</v>
      </c>
      <c r="G197" t="s">
        <v>239</v>
      </c>
    </row>
    <row r="198" spans="1:7" ht="15" customHeight="1" x14ac:dyDescent="0.25">
      <c r="A198" t="s">
        <v>79</v>
      </c>
      <c r="B198" t="s">
        <v>251</v>
      </c>
      <c r="C198" t="s">
        <v>237</v>
      </c>
      <c r="D198" t="s">
        <v>10</v>
      </c>
      <c r="E198" t="s">
        <v>314</v>
      </c>
      <c r="F198" t="s">
        <v>12</v>
      </c>
      <c r="G198" t="s">
        <v>239</v>
      </c>
    </row>
    <row r="199" spans="1:7" ht="15" customHeight="1" x14ac:dyDescent="0.25">
      <c r="A199" t="s">
        <v>79</v>
      </c>
      <c r="B199" t="s">
        <v>253</v>
      </c>
      <c r="C199" t="s">
        <v>237</v>
      </c>
      <c r="D199" t="s">
        <v>10</v>
      </c>
      <c r="E199" t="s">
        <v>315</v>
      </c>
      <c r="F199" t="s">
        <v>12</v>
      </c>
      <c r="G199" t="s">
        <v>239</v>
      </c>
    </row>
    <row r="200" spans="1:7" ht="15" customHeight="1" x14ac:dyDescent="0.25">
      <c r="A200" t="s">
        <v>79</v>
      </c>
      <c r="B200" t="s">
        <v>255</v>
      </c>
      <c r="C200" t="s">
        <v>237</v>
      </c>
      <c r="D200" t="s">
        <v>10</v>
      </c>
      <c r="E200" t="s">
        <v>316</v>
      </c>
      <c r="F200" t="s">
        <v>12</v>
      </c>
      <c r="G200" t="s">
        <v>239</v>
      </c>
    </row>
    <row r="201" spans="1:7" ht="15" customHeight="1" x14ac:dyDescent="0.25">
      <c r="A201" t="s">
        <v>79</v>
      </c>
      <c r="B201" t="s">
        <v>257</v>
      </c>
      <c r="C201" t="s">
        <v>237</v>
      </c>
      <c r="D201" t="s">
        <v>10</v>
      </c>
      <c r="E201" t="s">
        <v>316</v>
      </c>
      <c r="F201" t="s">
        <v>12</v>
      </c>
      <c r="G201" t="s">
        <v>239</v>
      </c>
    </row>
    <row r="202" spans="1:7" ht="15" customHeight="1" x14ac:dyDescent="0.25">
      <c r="A202" t="s">
        <v>79</v>
      </c>
      <c r="B202" t="s">
        <v>33</v>
      </c>
      <c r="C202" t="s">
        <v>237</v>
      </c>
      <c r="D202" t="s">
        <v>10</v>
      </c>
      <c r="E202" t="s">
        <v>317</v>
      </c>
      <c r="F202" t="s">
        <v>12</v>
      </c>
      <c r="G202" t="s">
        <v>239</v>
      </c>
    </row>
    <row r="203" spans="1:7" ht="15" customHeight="1" x14ac:dyDescent="0.25">
      <c r="A203" t="s">
        <v>79</v>
      </c>
      <c r="B203" t="s">
        <v>259</v>
      </c>
      <c r="C203" t="s">
        <v>237</v>
      </c>
      <c r="D203" t="s">
        <v>10</v>
      </c>
      <c r="E203" t="s">
        <v>318</v>
      </c>
      <c r="F203" t="s">
        <v>12</v>
      </c>
      <c r="G203" t="s">
        <v>239</v>
      </c>
    </row>
    <row r="204" spans="1:7" ht="15" customHeight="1" x14ac:dyDescent="0.25">
      <c r="A204" t="s">
        <v>79</v>
      </c>
      <c r="B204" t="s">
        <v>261</v>
      </c>
      <c r="C204" t="s">
        <v>237</v>
      </c>
      <c r="D204" t="s">
        <v>10</v>
      </c>
      <c r="E204" t="s">
        <v>319</v>
      </c>
      <c r="F204" t="s">
        <v>12</v>
      </c>
      <c r="G204" t="s">
        <v>239</v>
      </c>
    </row>
    <row r="205" spans="1:7" ht="15" customHeight="1" x14ac:dyDescent="0.25">
      <c r="A205" t="s">
        <v>79</v>
      </c>
      <c r="B205" t="s">
        <v>263</v>
      </c>
      <c r="C205" t="s">
        <v>237</v>
      </c>
      <c r="D205" t="s">
        <v>10</v>
      </c>
      <c r="E205" t="s">
        <v>320</v>
      </c>
      <c r="F205" t="s">
        <v>12</v>
      </c>
      <c r="G205" t="s">
        <v>239</v>
      </c>
    </row>
    <row r="207" spans="1:7" ht="15" customHeight="1" x14ac:dyDescent="0.25">
      <c r="A207" t="s">
        <v>96</v>
      </c>
      <c r="B207" t="s">
        <v>236</v>
      </c>
      <c r="C207" t="s">
        <v>237</v>
      </c>
      <c r="D207" t="s">
        <v>10</v>
      </c>
      <c r="E207" t="s">
        <v>321</v>
      </c>
      <c r="F207" t="s">
        <v>12</v>
      </c>
      <c r="G207" t="s">
        <v>239</v>
      </c>
    </row>
    <row r="208" spans="1:7" ht="15" customHeight="1" x14ac:dyDescent="0.25">
      <c r="A208" t="s">
        <v>96</v>
      </c>
      <c r="B208" t="s">
        <v>240</v>
      </c>
      <c r="C208" t="s">
        <v>237</v>
      </c>
      <c r="D208" t="s">
        <v>10</v>
      </c>
      <c r="E208" t="s">
        <v>322</v>
      </c>
      <c r="F208" t="s">
        <v>12</v>
      </c>
      <c r="G208" t="s">
        <v>239</v>
      </c>
    </row>
    <row r="209" spans="1:7" ht="15" customHeight="1" x14ac:dyDescent="0.25">
      <c r="A209" t="s">
        <v>96</v>
      </c>
      <c r="B209" t="s">
        <v>16</v>
      </c>
      <c r="C209" t="s">
        <v>237</v>
      </c>
      <c r="D209" t="s">
        <v>10</v>
      </c>
      <c r="E209" t="s">
        <v>323</v>
      </c>
      <c r="F209" t="s">
        <v>12</v>
      </c>
      <c r="G209" t="s">
        <v>239</v>
      </c>
    </row>
    <row r="210" spans="1:7" ht="15" customHeight="1" x14ac:dyDescent="0.25">
      <c r="A210" t="s">
        <v>96</v>
      </c>
      <c r="B210" t="s">
        <v>243</v>
      </c>
      <c r="C210" t="s">
        <v>237</v>
      </c>
      <c r="D210" t="s">
        <v>10</v>
      </c>
      <c r="E210" t="s">
        <v>324</v>
      </c>
      <c r="F210" t="s">
        <v>12</v>
      </c>
      <c r="G210" t="s">
        <v>239</v>
      </c>
    </row>
    <row r="211" spans="1:7" ht="15" customHeight="1" x14ac:dyDescent="0.25">
      <c r="A211" t="s">
        <v>96</v>
      </c>
      <c r="B211" t="s">
        <v>245</v>
      </c>
      <c r="C211" t="s">
        <v>237</v>
      </c>
      <c r="D211" t="s">
        <v>10</v>
      </c>
      <c r="E211" t="s">
        <v>325</v>
      </c>
      <c r="F211" t="s">
        <v>12</v>
      </c>
      <c r="G211" t="s">
        <v>239</v>
      </c>
    </row>
    <row r="212" spans="1:7" ht="15" customHeight="1" x14ac:dyDescent="0.25">
      <c r="A212" t="s">
        <v>96</v>
      </c>
      <c r="B212" t="s">
        <v>247</v>
      </c>
      <c r="C212" t="s">
        <v>237</v>
      </c>
      <c r="D212" t="s">
        <v>10</v>
      </c>
      <c r="E212" t="s">
        <v>326</v>
      </c>
      <c r="F212" t="s">
        <v>12</v>
      </c>
      <c r="G212" t="s">
        <v>239</v>
      </c>
    </row>
    <row r="213" spans="1:7" ht="15" customHeight="1" x14ac:dyDescent="0.25">
      <c r="A213" t="s">
        <v>96</v>
      </c>
      <c r="B213" t="s">
        <v>249</v>
      </c>
      <c r="C213" t="s">
        <v>237</v>
      </c>
      <c r="D213" t="s">
        <v>10</v>
      </c>
      <c r="E213" t="s">
        <v>327</v>
      </c>
      <c r="F213" t="s">
        <v>12</v>
      </c>
      <c r="G213" t="s">
        <v>239</v>
      </c>
    </row>
    <row r="214" spans="1:7" ht="15" customHeight="1" x14ac:dyDescent="0.25">
      <c r="A214" t="s">
        <v>96</v>
      </c>
      <c r="B214" t="s">
        <v>328</v>
      </c>
      <c r="C214" t="s">
        <v>237</v>
      </c>
      <c r="D214" t="s">
        <v>10</v>
      </c>
      <c r="E214" t="s">
        <v>329</v>
      </c>
      <c r="F214" t="s">
        <v>12</v>
      </c>
      <c r="G214" t="s">
        <v>239</v>
      </c>
    </row>
    <row r="215" spans="1:7" ht="15" customHeight="1" x14ac:dyDescent="0.25">
      <c r="A215" t="s">
        <v>96</v>
      </c>
      <c r="B215" t="s">
        <v>253</v>
      </c>
      <c r="C215" t="s">
        <v>237</v>
      </c>
      <c r="D215" t="s">
        <v>10</v>
      </c>
      <c r="E215" t="s">
        <v>330</v>
      </c>
      <c r="F215" t="s">
        <v>12</v>
      </c>
      <c r="G215" t="s">
        <v>239</v>
      </c>
    </row>
    <row r="216" spans="1:7" ht="15" customHeight="1" x14ac:dyDescent="0.25">
      <c r="A216" t="s">
        <v>96</v>
      </c>
      <c r="B216" t="s">
        <v>255</v>
      </c>
      <c r="C216" t="s">
        <v>237</v>
      </c>
      <c r="D216" t="s">
        <v>10</v>
      </c>
      <c r="E216" t="s">
        <v>331</v>
      </c>
      <c r="F216" t="s">
        <v>12</v>
      </c>
      <c r="G216" t="s">
        <v>239</v>
      </c>
    </row>
    <row r="217" spans="1:7" ht="15" customHeight="1" x14ac:dyDescent="0.25">
      <c r="A217" t="s">
        <v>96</v>
      </c>
      <c r="B217" t="s">
        <v>257</v>
      </c>
      <c r="C217" t="s">
        <v>237</v>
      </c>
      <c r="D217" t="s">
        <v>10</v>
      </c>
      <c r="E217" t="s">
        <v>331</v>
      </c>
      <c r="F217" t="s">
        <v>12</v>
      </c>
      <c r="G217" t="s">
        <v>239</v>
      </c>
    </row>
    <row r="218" spans="1:7" ht="15" customHeight="1" x14ac:dyDescent="0.25">
      <c r="A218" t="s">
        <v>96</v>
      </c>
      <c r="B218" t="s">
        <v>33</v>
      </c>
      <c r="C218" t="s">
        <v>237</v>
      </c>
      <c r="D218" t="s">
        <v>10</v>
      </c>
      <c r="E218" t="s">
        <v>332</v>
      </c>
      <c r="F218" t="s">
        <v>12</v>
      </c>
      <c r="G218" t="s">
        <v>239</v>
      </c>
    </row>
    <row r="219" spans="1:7" ht="15" customHeight="1" x14ac:dyDescent="0.25">
      <c r="A219" t="s">
        <v>96</v>
      </c>
      <c r="B219" t="s">
        <v>259</v>
      </c>
      <c r="C219" t="s">
        <v>237</v>
      </c>
      <c r="D219" t="s">
        <v>10</v>
      </c>
      <c r="E219" t="s">
        <v>333</v>
      </c>
      <c r="F219" t="s">
        <v>12</v>
      </c>
      <c r="G219" t="s">
        <v>239</v>
      </c>
    </row>
    <row r="220" spans="1:7" ht="15" customHeight="1" x14ac:dyDescent="0.25">
      <c r="A220" t="s">
        <v>96</v>
      </c>
      <c r="B220" t="s">
        <v>261</v>
      </c>
      <c r="C220" t="s">
        <v>237</v>
      </c>
      <c r="D220" t="s">
        <v>10</v>
      </c>
      <c r="E220" t="s">
        <v>334</v>
      </c>
      <c r="F220" t="s">
        <v>12</v>
      </c>
      <c r="G220" t="s">
        <v>239</v>
      </c>
    </row>
    <row r="221" spans="1:7" ht="15" customHeight="1" x14ac:dyDescent="0.25">
      <c r="A221" t="s">
        <v>96</v>
      </c>
      <c r="B221" t="s">
        <v>263</v>
      </c>
      <c r="C221" t="s">
        <v>237</v>
      </c>
      <c r="D221" t="s">
        <v>10</v>
      </c>
      <c r="E221" t="s">
        <v>335</v>
      </c>
      <c r="F221" t="s">
        <v>12</v>
      </c>
      <c r="G221" t="s">
        <v>239</v>
      </c>
    </row>
    <row r="222" spans="1:7" ht="15" customHeight="1" x14ac:dyDescent="0.25">
      <c r="A222" t="s">
        <v>105</v>
      </c>
      <c r="B222" t="s">
        <v>236</v>
      </c>
      <c r="C222" t="s">
        <v>237</v>
      </c>
      <c r="D222" t="s">
        <v>10</v>
      </c>
      <c r="E222" t="s">
        <v>336</v>
      </c>
      <c r="F222" t="s">
        <v>12</v>
      </c>
      <c r="G222" t="s">
        <v>239</v>
      </c>
    </row>
    <row r="223" spans="1:7" ht="15" customHeight="1" x14ac:dyDescent="0.25">
      <c r="A223" t="s">
        <v>105</v>
      </c>
      <c r="B223" t="s">
        <v>240</v>
      </c>
      <c r="C223" t="s">
        <v>237</v>
      </c>
      <c r="D223" t="s">
        <v>10</v>
      </c>
      <c r="E223" t="s">
        <v>337</v>
      </c>
      <c r="F223" t="s">
        <v>12</v>
      </c>
      <c r="G223" t="s">
        <v>239</v>
      </c>
    </row>
    <row r="224" spans="1:7" ht="15" customHeight="1" x14ac:dyDescent="0.25">
      <c r="A224" t="s">
        <v>105</v>
      </c>
      <c r="B224" t="s">
        <v>16</v>
      </c>
      <c r="C224" t="s">
        <v>237</v>
      </c>
      <c r="D224" t="s">
        <v>10</v>
      </c>
      <c r="E224" t="s">
        <v>338</v>
      </c>
      <c r="F224" t="s">
        <v>12</v>
      </c>
      <c r="G224" t="s">
        <v>239</v>
      </c>
    </row>
    <row r="225" spans="1:7" ht="15" customHeight="1" x14ac:dyDescent="0.25">
      <c r="A225" t="s">
        <v>105</v>
      </c>
      <c r="B225" t="s">
        <v>243</v>
      </c>
      <c r="C225" t="s">
        <v>237</v>
      </c>
      <c r="D225" t="s">
        <v>10</v>
      </c>
      <c r="E225" t="s">
        <v>339</v>
      </c>
      <c r="F225" t="s">
        <v>12</v>
      </c>
      <c r="G225" t="s">
        <v>239</v>
      </c>
    </row>
    <row r="226" spans="1:7" ht="15" customHeight="1" x14ac:dyDescent="0.25">
      <c r="A226" t="s">
        <v>105</v>
      </c>
      <c r="B226" t="s">
        <v>245</v>
      </c>
      <c r="C226" t="s">
        <v>237</v>
      </c>
      <c r="D226" t="s">
        <v>10</v>
      </c>
      <c r="E226" t="s">
        <v>340</v>
      </c>
      <c r="F226" t="s">
        <v>12</v>
      </c>
      <c r="G226" t="s">
        <v>239</v>
      </c>
    </row>
    <row r="227" spans="1:7" ht="15" customHeight="1" x14ac:dyDescent="0.25">
      <c r="A227" t="s">
        <v>105</v>
      </c>
      <c r="B227" t="s">
        <v>247</v>
      </c>
      <c r="C227" t="s">
        <v>237</v>
      </c>
      <c r="D227" t="s">
        <v>10</v>
      </c>
      <c r="E227" t="s">
        <v>341</v>
      </c>
      <c r="F227" t="s">
        <v>12</v>
      </c>
      <c r="G227" t="s">
        <v>239</v>
      </c>
    </row>
    <row r="228" spans="1:7" ht="15" customHeight="1" x14ac:dyDescent="0.25">
      <c r="A228" t="s">
        <v>105</v>
      </c>
      <c r="B228" t="s">
        <v>249</v>
      </c>
      <c r="C228" t="s">
        <v>237</v>
      </c>
      <c r="D228" t="s">
        <v>10</v>
      </c>
      <c r="E228" t="s">
        <v>342</v>
      </c>
      <c r="F228" t="s">
        <v>12</v>
      </c>
      <c r="G228" t="s">
        <v>239</v>
      </c>
    </row>
    <row r="229" spans="1:7" ht="15" customHeight="1" x14ac:dyDescent="0.25">
      <c r="A229" t="s">
        <v>105</v>
      </c>
      <c r="B229" t="s">
        <v>328</v>
      </c>
      <c r="C229" t="s">
        <v>237</v>
      </c>
      <c r="D229" t="s">
        <v>10</v>
      </c>
      <c r="E229" t="s">
        <v>343</v>
      </c>
      <c r="F229" t="s">
        <v>12</v>
      </c>
      <c r="G229" t="s">
        <v>239</v>
      </c>
    </row>
    <row r="230" spans="1:7" ht="15" customHeight="1" x14ac:dyDescent="0.25">
      <c r="A230" t="s">
        <v>105</v>
      </c>
      <c r="B230" t="s">
        <v>253</v>
      </c>
      <c r="C230" t="s">
        <v>237</v>
      </c>
      <c r="D230" t="s">
        <v>10</v>
      </c>
      <c r="E230" t="s">
        <v>344</v>
      </c>
      <c r="F230" t="s">
        <v>12</v>
      </c>
      <c r="G230" t="s">
        <v>239</v>
      </c>
    </row>
    <row r="231" spans="1:7" ht="15" customHeight="1" x14ac:dyDescent="0.25">
      <c r="A231" t="s">
        <v>105</v>
      </c>
      <c r="B231" t="s">
        <v>255</v>
      </c>
      <c r="C231" t="s">
        <v>237</v>
      </c>
      <c r="D231" t="s">
        <v>10</v>
      </c>
      <c r="E231" t="s">
        <v>345</v>
      </c>
      <c r="F231" t="s">
        <v>12</v>
      </c>
      <c r="G231" t="s">
        <v>239</v>
      </c>
    </row>
    <row r="232" spans="1:7" ht="15" customHeight="1" x14ac:dyDescent="0.25">
      <c r="A232" t="s">
        <v>105</v>
      </c>
      <c r="B232" t="s">
        <v>257</v>
      </c>
      <c r="C232" t="s">
        <v>237</v>
      </c>
      <c r="D232" t="s">
        <v>10</v>
      </c>
      <c r="E232" t="s">
        <v>345</v>
      </c>
      <c r="F232" t="s">
        <v>12</v>
      </c>
      <c r="G232" t="s">
        <v>239</v>
      </c>
    </row>
    <row r="233" spans="1:7" ht="15" customHeight="1" x14ac:dyDescent="0.25">
      <c r="A233" t="s">
        <v>105</v>
      </c>
      <c r="B233" t="s">
        <v>33</v>
      </c>
      <c r="C233" t="s">
        <v>237</v>
      </c>
      <c r="D233" t="s">
        <v>10</v>
      </c>
      <c r="E233" t="s">
        <v>346</v>
      </c>
      <c r="F233" t="s">
        <v>12</v>
      </c>
      <c r="G233" t="s">
        <v>239</v>
      </c>
    </row>
    <row r="234" spans="1:7" ht="15" customHeight="1" x14ac:dyDescent="0.25">
      <c r="A234" t="s">
        <v>105</v>
      </c>
      <c r="B234" t="s">
        <v>259</v>
      </c>
      <c r="C234" t="s">
        <v>237</v>
      </c>
      <c r="D234" t="s">
        <v>10</v>
      </c>
      <c r="E234" t="s">
        <v>347</v>
      </c>
      <c r="F234" t="s">
        <v>12</v>
      </c>
      <c r="G234" t="s">
        <v>239</v>
      </c>
    </row>
    <row r="235" spans="1:7" ht="15" customHeight="1" x14ac:dyDescent="0.25">
      <c r="A235" t="s">
        <v>105</v>
      </c>
      <c r="B235" t="s">
        <v>261</v>
      </c>
      <c r="C235" t="s">
        <v>237</v>
      </c>
      <c r="D235" t="s">
        <v>10</v>
      </c>
      <c r="E235" t="s">
        <v>348</v>
      </c>
      <c r="F235" t="s">
        <v>12</v>
      </c>
      <c r="G235" t="s">
        <v>239</v>
      </c>
    </row>
    <row r="236" spans="1:7" ht="15" customHeight="1" x14ac:dyDescent="0.25">
      <c r="A236" t="s">
        <v>105</v>
      </c>
      <c r="B236" t="s">
        <v>263</v>
      </c>
      <c r="C236" t="s">
        <v>237</v>
      </c>
      <c r="D236" t="s">
        <v>10</v>
      </c>
      <c r="E236" t="s">
        <v>349</v>
      </c>
      <c r="F236" t="s">
        <v>12</v>
      </c>
      <c r="G236" t="s">
        <v>239</v>
      </c>
    </row>
    <row r="237" spans="1:7" ht="15" customHeight="1" x14ac:dyDescent="0.25">
      <c r="A237" t="s">
        <v>121</v>
      </c>
      <c r="B237" t="s">
        <v>236</v>
      </c>
      <c r="C237" t="s">
        <v>237</v>
      </c>
      <c r="D237" t="s">
        <v>10</v>
      </c>
      <c r="E237" t="s">
        <v>350</v>
      </c>
      <c r="F237" t="s">
        <v>12</v>
      </c>
      <c r="G237" t="s">
        <v>239</v>
      </c>
    </row>
    <row r="238" spans="1:7" ht="15" customHeight="1" x14ac:dyDescent="0.25">
      <c r="A238" t="s">
        <v>121</v>
      </c>
      <c r="B238" t="s">
        <v>240</v>
      </c>
      <c r="C238" t="s">
        <v>237</v>
      </c>
      <c r="D238" t="s">
        <v>10</v>
      </c>
      <c r="E238" t="s">
        <v>351</v>
      </c>
      <c r="F238" t="s">
        <v>12</v>
      </c>
      <c r="G238" t="s">
        <v>239</v>
      </c>
    </row>
    <row r="239" spans="1:7" ht="15" customHeight="1" x14ac:dyDescent="0.25">
      <c r="A239" t="s">
        <v>121</v>
      </c>
      <c r="B239" t="s">
        <v>16</v>
      </c>
      <c r="C239" t="s">
        <v>237</v>
      </c>
      <c r="D239" t="s">
        <v>10</v>
      </c>
      <c r="E239" t="s">
        <v>352</v>
      </c>
      <c r="F239" t="s">
        <v>12</v>
      </c>
      <c r="G239" t="s">
        <v>239</v>
      </c>
    </row>
    <row r="240" spans="1:7" ht="15" customHeight="1" x14ac:dyDescent="0.25">
      <c r="A240" t="s">
        <v>121</v>
      </c>
      <c r="B240" t="s">
        <v>243</v>
      </c>
      <c r="C240" t="s">
        <v>237</v>
      </c>
      <c r="D240" t="s">
        <v>10</v>
      </c>
      <c r="E240" t="s">
        <v>353</v>
      </c>
      <c r="F240" t="s">
        <v>12</v>
      </c>
      <c r="G240" t="s">
        <v>239</v>
      </c>
    </row>
    <row r="241" spans="1:7" ht="15" customHeight="1" x14ac:dyDescent="0.25">
      <c r="A241" t="s">
        <v>121</v>
      </c>
      <c r="B241" t="s">
        <v>245</v>
      </c>
      <c r="C241" t="s">
        <v>237</v>
      </c>
      <c r="D241" t="s">
        <v>10</v>
      </c>
      <c r="E241" t="s">
        <v>354</v>
      </c>
      <c r="F241" t="s">
        <v>12</v>
      </c>
      <c r="G241" t="s">
        <v>239</v>
      </c>
    </row>
    <row r="242" spans="1:7" ht="15" customHeight="1" x14ac:dyDescent="0.25">
      <c r="A242" t="s">
        <v>121</v>
      </c>
      <c r="B242" t="s">
        <v>247</v>
      </c>
      <c r="C242" t="s">
        <v>237</v>
      </c>
      <c r="D242" t="s">
        <v>10</v>
      </c>
      <c r="E242" t="s">
        <v>355</v>
      </c>
      <c r="F242" t="s">
        <v>12</v>
      </c>
      <c r="G242" t="s">
        <v>239</v>
      </c>
    </row>
    <row r="243" spans="1:7" ht="15" customHeight="1" x14ac:dyDescent="0.25">
      <c r="A243" t="s">
        <v>121</v>
      </c>
      <c r="B243" t="s">
        <v>249</v>
      </c>
      <c r="C243" t="s">
        <v>237</v>
      </c>
      <c r="D243" t="s">
        <v>10</v>
      </c>
      <c r="E243" t="s">
        <v>356</v>
      </c>
      <c r="F243" t="s">
        <v>12</v>
      </c>
      <c r="G243" t="s">
        <v>239</v>
      </c>
    </row>
    <row r="244" spans="1:7" ht="15" customHeight="1" x14ac:dyDescent="0.25">
      <c r="A244" t="s">
        <v>121</v>
      </c>
      <c r="B244" t="s">
        <v>328</v>
      </c>
      <c r="C244" t="s">
        <v>237</v>
      </c>
      <c r="D244" t="s">
        <v>10</v>
      </c>
      <c r="E244" t="s">
        <v>357</v>
      </c>
      <c r="F244" t="s">
        <v>12</v>
      </c>
      <c r="G244" t="s">
        <v>239</v>
      </c>
    </row>
    <row r="245" spans="1:7" ht="15" customHeight="1" x14ac:dyDescent="0.25">
      <c r="A245" t="s">
        <v>121</v>
      </c>
      <c r="B245" t="s">
        <v>253</v>
      </c>
      <c r="C245" t="s">
        <v>237</v>
      </c>
      <c r="D245" t="s">
        <v>10</v>
      </c>
      <c r="E245" t="s">
        <v>358</v>
      </c>
      <c r="F245" t="s">
        <v>12</v>
      </c>
      <c r="G245" t="s">
        <v>239</v>
      </c>
    </row>
    <row r="246" spans="1:7" ht="15" customHeight="1" x14ac:dyDescent="0.25">
      <c r="A246" t="s">
        <v>121</v>
      </c>
      <c r="B246" t="s">
        <v>255</v>
      </c>
      <c r="C246" t="s">
        <v>237</v>
      </c>
      <c r="D246" t="s">
        <v>10</v>
      </c>
      <c r="E246" t="s">
        <v>359</v>
      </c>
      <c r="F246" t="s">
        <v>12</v>
      </c>
      <c r="G246" t="s">
        <v>239</v>
      </c>
    </row>
    <row r="247" spans="1:7" ht="15" customHeight="1" x14ac:dyDescent="0.25">
      <c r="A247" t="s">
        <v>121</v>
      </c>
      <c r="B247" t="s">
        <v>257</v>
      </c>
      <c r="C247" t="s">
        <v>237</v>
      </c>
      <c r="D247" t="s">
        <v>10</v>
      </c>
      <c r="E247" t="s">
        <v>359</v>
      </c>
      <c r="F247" t="s">
        <v>12</v>
      </c>
      <c r="G247" t="s">
        <v>239</v>
      </c>
    </row>
    <row r="248" spans="1:7" ht="15" customHeight="1" x14ac:dyDescent="0.25">
      <c r="A248" t="s">
        <v>121</v>
      </c>
      <c r="B248" t="s">
        <v>33</v>
      </c>
      <c r="C248" t="s">
        <v>237</v>
      </c>
      <c r="D248" t="s">
        <v>10</v>
      </c>
      <c r="E248" t="s">
        <v>360</v>
      </c>
      <c r="F248" t="s">
        <v>12</v>
      </c>
      <c r="G248" t="s">
        <v>239</v>
      </c>
    </row>
    <row r="249" spans="1:7" ht="15" customHeight="1" x14ac:dyDescent="0.25">
      <c r="A249" t="s">
        <v>121</v>
      </c>
      <c r="B249" t="s">
        <v>259</v>
      </c>
      <c r="C249" t="s">
        <v>237</v>
      </c>
      <c r="D249" t="s">
        <v>10</v>
      </c>
      <c r="E249" t="s">
        <v>361</v>
      </c>
      <c r="F249" t="s">
        <v>12</v>
      </c>
      <c r="G249" t="s">
        <v>239</v>
      </c>
    </row>
    <row r="250" spans="1:7" ht="15" customHeight="1" x14ac:dyDescent="0.25">
      <c r="A250" t="s">
        <v>121</v>
      </c>
      <c r="B250" t="s">
        <v>261</v>
      </c>
      <c r="C250" t="s">
        <v>237</v>
      </c>
      <c r="D250" t="s">
        <v>10</v>
      </c>
      <c r="E250" t="s">
        <v>362</v>
      </c>
      <c r="F250" t="s">
        <v>12</v>
      </c>
      <c r="G250" t="s">
        <v>239</v>
      </c>
    </row>
    <row r="251" spans="1:7" ht="15" customHeight="1" x14ac:dyDescent="0.25">
      <c r="A251" t="s">
        <v>121</v>
      </c>
      <c r="B251" t="s">
        <v>263</v>
      </c>
      <c r="C251" t="s">
        <v>237</v>
      </c>
      <c r="D251" t="s">
        <v>10</v>
      </c>
      <c r="E251" t="s">
        <v>363</v>
      </c>
      <c r="F251" t="s">
        <v>12</v>
      </c>
      <c r="G251" t="s">
        <v>239</v>
      </c>
    </row>
    <row r="252" spans="1:7" ht="15" customHeight="1" x14ac:dyDescent="0.25">
      <c r="A252" t="s">
        <v>130</v>
      </c>
      <c r="B252" t="s">
        <v>236</v>
      </c>
      <c r="C252" t="s">
        <v>237</v>
      </c>
      <c r="D252" t="s">
        <v>10</v>
      </c>
      <c r="E252" t="s">
        <v>364</v>
      </c>
      <c r="F252" t="s">
        <v>12</v>
      </c>
      <c r="G252" t="s">
        <v>239</v>
      </c>
    </row>
    <row r="253" spans="1:7" ht="15" customHeight="1" x14ac:dyDescent="0.25">
      <c r="A253" t="s">
        <v>130</v>
      </c>
      <c r="B253" t="s">
        <v>240</v>
      </c>
      <c r="C253" t="s">
        <v>237</v>
      </c>
      <c r="D253" t="s">
        <v>10</v>
      </c>
      <c r="E253" t="s">
        <v>365</v>
      </c>
      <c r="F253" t="s">
        <v>12</v>
      </c>
      <c r="G253" t="s">
        <v>239</v>
      </c>
    </row>
    <row r="254" spans="1:7" ht="15" customHeight="1" x14ac:dyDescent="0.25">
      <c r="A254" t="s">
        <v>130</v>
      </c>
      <c r="B254" t="s">
        <v>16</v>
      </c>
      <c r="C254" t="s">
        <v>237</v>
      </c>
      <c r="D254" t="s">
        <v>10</v>
      </c>
      <c r="E254" t="s">
        <v>366</v>
      </c>
      <c r="F254" t="s">
        <v>12</v>
      </c>
      <c r="G254" t="s">
        <v>239</v>
      </c>
    </row>
    <row r="255" spans="1:7" ht="15" customHeight="1" x14ac:dyDescent="0.25">
      <c r="A255" t="s">
        <v>130</v>
      </c>
      <c r="B255" t="s">
        <v>243</v>
      </c>
      <c r="C255" t="s">
        <v>237</v>
      </c>
      <c r="D255" t="s">
        <v>10</v>
      </c>
      <c r="E255" t="s">
        <v>367</v>
      </c>
      <c r="F255" t="s">
        <v>12</v>
      </c>
      <c r="G255" t="s">
        <v>239</v>
      </c>
    </row>
    <row r="256" spans="1:7" ht="15" customHeight="1" x14ac:dyDescent="0.25">
      <c r="A256" t="s">
        <v>130</v>
      </c>
      <c r="B256" t="s">
        <v>245</v>
      </c>
      <c r="C256" t="s">
        <v>237</v>
      </c>
      <c r="D256" t="s">
        <v>10</v>
      </c>
      <c r="E256" t="s">
        <v>368</v>
      </c>
      <c r="F256" t="s">
        <v>12</v>
      </c>
      <c r="G256" t="s">
        <v>239</v>
      </c>
    </row>
    <row r="257" spans="1:7" ht="15" customHeight="1" x14ac:dyDescent="0.25">
      <c r="A257" t="s">
        <v>130</v>
      </c>
      <c r="B257" t="s">
        <v>247</v>
      </c>
      <c r="C257" t="s">
        <v>237</v>
      </c>
      <c r="D257" t="s">
        <v>10</v>
      </c>
      <c r="E257" t="s">
        <v>369</v>
      </c>
      <c r="F257" t="s">
        <v>12</v>
      </c>
      <c r="G257" t="s">
        <v>239</v>
      </c>
    </row>
    <row r="258" spans="1:7" ht="15" customHeight="1" x14ac:dyDescent="0.25">
      <c r="A258" t="s">
        <v>130</v>
      </c>
      <c r="B258" t="s">
        <v>249</v>
      </c>
      <c r="C258" t="s">
        <v>237</v>
      </c>
      <c r="D258" t="s">
        <v>10</v>
      </c>
      <c r="E258" t="s">
        <v>370</v>
      </c>
      <c r="F258" t="s">
        <v>12</v>
      </c>
      <c r="G258" t="s">
        <v>239</v>
      </c>
    </row>
    <row r="259" spans="1:7" ht="15" customHeight="1" x14ac:dyDescent="0.25">
      <c r="A259" t="s">
        <v>130</v>
      </c>
      <c r="B259" t="s">
        <v>328</v>
      </c>
      <c r="C259" t="s">
        <v>237</v>
      </c>
      <c r="D259" t="s">
        <v>10</v>
      </c>
      <c r="E259" t="s">
        <v>371</v>
      </c>
      <c r="F259" t="s">
        <v>12</v>
      </c>
      <c r="G259" t="s">
        <v>239</v>
      </c>
    </row>
    <row r="260" spans="1:7" ht="15" customHeight="1" x14ac:dyDescent="0.25">
      <c r="A260" t="s">
        <v>130</v>
      </c>
      <c r="B260" t="s">
        <v>253</v>
      </c>
      <c r="C260" t="s">
        <v>237</v>
      </c>
      <c r="D260" t="s">
        <v>10</v>
      </c>
      <c r="E260" t="s">
        <v>372</v>
      </c>
      <c r="F260" t="s">
        <v>12</v>
      </c>
      <c r="G260" t="s">
        <v>239</v>
      </c>
    </row>
    <row r="261" spans="1:7" ht="15" customHeight="1" x14ac:dyDescent="0.25">
      <c r="A261" t="s">
        <v>130</v>
      </c>
      <c r="B261" t="s">
        <v>255</v>
      </c>
      <c r="C261" t="s">
        <v>237</v>
      </c>
      <c r="D261" t="s">
        <v>10</v>
      </c>
      <c r="E261" t="s">
        <v>373</v>
      </c>
      <c r="F261" t="s">
        <v>12</v>
      </c>
      <c r="G261" t="s">
        <v>239</v>
      </c>
    </row>
    <row r="262" spans="1:7" ht="15" customHeight="1" x14ac:dyDescent="0.25">
      <c r="A262" t="s">
        <v>130</v>
      </c>
      <c r="B262" t="s">
        <v>257</v>
      </c>
      <c r="C262" t="s">
        <v>237</v>
      </c>
      <c r="D262" t="s">
        <v>10</v>
      </c>
      <c r="E262" t="s">
        <v>373</v>
      </c>
      <c r="F262" t="s">
        <v>12</v>
      </c>
      <c r="G262" t="s">
        <v>239</v>
      </c>
    </row>
    <row r="263" spans="1:7" ht="15" customHeight="1" x14ac:dyDescent="0.25">
      <c r="A263" t="s">
        <v>130</v>
      </c>
      <c r="B263" t="s">
        <v>33</v>
      </c>
      <c r="C263" t="s">
        <v>237</v>
      </c>
      <c r="D263" t="s">
        <v>10</v>
      </c>
      <c r="E263" t="s">
        <v>374</v>
      </c>
      <c r="F263" t="s">
        <v>12</v>
      </c>
      <c r="G263" t="s">
        <v>239</v>
      </c>
    </row>
    <row r="264" spans="1:7" ht="15" customHeight="1" x14ac:dyDescent="0.25">
      <c r="A264" t="s">
        <v>130</v>
      </c>
      <c r="B264" t="s">
        <v>259</v>
      </c>
      <c r="C264" t="s">
        <v>237</v>
      </c>
      <c r="D264" t="s">
        <v>10</v>
      </c>
      <c r="E264" t="s">
        <v>375</v>
      </c>
      <c r="F264" t="s">
        <v>12</v>
      </c>
      <c r="G264" t="s">
        <v>239</v>
      </c>
    </row>
    <row r="265" spans="1:7" ht="15" customHeight="1" x14ac:dyDescent="0.25">
      <c r="A265" t="s">
        <v>130</v>
      </c>
      <c r="B265" t="s">
        <v>261</v>
      </c>
      <c r="C265" t="s">
        <v>237</v>
      </c>
      <c r="D265" t="s">
        <v>10</v>
      </c>
      <c r="E265" t="s">
        <v>376</v>
      </c>
      <c r="F265" t="s">
        <v>12</v>
      </c>
      <c r="G265" t="s">
        <v>239</v>
      </c>
    </row>
    <row r="266" spans="1:7" ht="15" customHeight="1" x14ac:dyDescent="0.25">
      <c r="A266" t="s">
        <v>130</v>
      </c>
      <c r="B266" t="s">
        <v>263</v>
      </c>
      <c r="C266" t="s">
        <v>237</v>
      </c>
      <c r="D266" t="s">
        <v>10</v>
      </c>
      <c r="E266" t="s">
        <v>377</v>
      </c>
      <c r="F266" t="s">
        <v>12</v>
      </c>
      <c r="G266" t="s">
        <v>239</v>
      </c>
    </row>
    <row r="267" spans="1:7" ht="15" customHeight="1" x14ac:dyDescent="0.25">
      <c r="A267" t="s">
        <v>144</v>
      </c>
      <c r="B267" t="s">
        <v>236</v>
      </c>
      <c r="C267" t="s">
        <v>237</v>
      </c>
      <c r="D267" t="s">
        <v>10</v>
      </c>
      <c r="E267" t="s">
        <v>378</v>
      </c>
      <c r="F267" t="s">
        <v>12</v>
      </c>
      <c r="G267" t="s">
        <v>239</v>
      </c>
    </row>
    <row r="268" spans="1:7" ht="15" customHeight="1" x14ac:dyDescent="0.25">
      <c r="A268" t="s">
        <v>144</v>
      </c>
      <c r="B268" t="s">
        <v>240</v>
      </c>
      <c r="C268" t="s">
        <v>237</v>
      </c>
      <c r="D268" t="s">
        <v>10</v>
      </c>
      <c r="E268" t="s">
        <v>379</v>
      </c>
      <c r="F268" t="s">
        <v>12</v>
      </c>
      <c r="G268" t="s">
        <v>239</v>
      </c>
    </row>
    <row r="269" spans="1:7" ht="15" customHeight="1" x14ac:dyDescent="0.25">
      <c r="A269" t="s">
        <v>144</v>
      </c>
      <c r="B269" t="s">
        <v>16</v>
      </c>
      <c r="C269" t="s">
        <v>237</v>
      </c>
      <c r="D269" t="s">
        <v>10</v>
      </c>
      <c r="E269" t="s">
        <v>380</v>
      </c>
      <c r="F269" t="s">
        <v>12</v>
      </c>
      <c r="G269" t="s">
        <v>239</v>
      </c>
    </row>
    <row r="270" spans="1:7" ht="15" customHeight="1" x14ac:dyDescent="0.25">
      <c r="A270" t="s">
        <v>144</v>
      </c>
      <c r="B270" t="s">
        <v>243</v>
      </c>
      <c r="C270" t="s">
        <v>237</v>
      </c>
      <c r="D270" t="s">
        <v>10</v>
      </c>
      <c r="E270" t="s">
        <v>381</v>
      </c>
      <c r="F270" t="s">
        <v>12</v>
      </c>
      <c r="G270" t="s">
        <v>239</v>
      </c>
    </row>
    <row r="271" spans="1:7" ht="15" customHeight="1" x14ac:dyDescent="0.25">
      <c r="A271" t="s">
        <v>144</v>
      </c>
      <c r="B271" t="s">
        <v>245</v>
      </c>
      <c r="C271" t="s">
        <v>237</v>
      </c>
      <c r="D271" t="s">
        <v>10</v>
      </c>
      <c r="E271" t="s">
        <v>382</v>
      </c>
      <c r="F271" t="s">
        <v>12</v>
      </c>
      <c r="G271" t="s">
        <v>239</v>
      </c>
    </row>
    <row r="272" spans="1:7" ht="15" customHeight="1" x14ac:dyDescent="0.25">
      <c r="A272" t="s">
        <v>144</v>
      </c>
      <c r="B272" t="s">
        <v>247</v>
      </c>
      <c r="C272" t="s">
        <v>237</v>
      </c>
      <c r="D272" t="s">
        <v>10</v>
      </c>
      <c r="E272" t="s">
        <v>383</v>
      </c>
      <c r="F272" t="s">
        <v>12</v>
      </c>
      <c r="G272" t="s">
        <v>239</v>
      </c>
    </row>
    <row r="273" spans="1:7" ht="15" customHeight="1" x14ac:dyDescent="0.25">
      <c r="A273" t="s">
        <v>144</v>
      </c>
      <c r="B273" t="s">
        <v>249</v>
      </c>
      <c r="C273" t="s">
        <v>237</v>
      </c>
      <c r="D273" t="s">
        <v>10</v>
      </c>
      <c r="E273" t="s">
        <v>384</v>
      </c>
      <c r="F273" t="s">
        <v>12</v>
      </c>
      <c r="G273" t="s">
        <v>239</v>
      </c>
    </row>
    <row r="274" spans="1:7" ht="15" customHeight="1" x14ac:dyDescent="0.25">
      <c r="A274" t="s">
        <v>144</v>
      </c>
      <c r="B274" t="s">
        <v>328</v>
      </c>
      <c r="C274" t="s">
        <v>237</v>
      </c>
      <c r="D274" t="s">
        <v>10</v>
      </c>
      <c r="E274" t="s">
        <v>385</v>
      </c>
      <c r="F274" t="s">
        <v>12</v>
      </c>
      <c r="G274" t="s">
        <v>239</v>
      </c>
    </row>
    <row r="275" spans="1:7" ht="15" customHeight="1" x14ac:dyDescent="0.25">
      <c r="A275" t="s">
        <v>144</v>
      </c>
      <c r="B275" t="s">
        <v>253</v>
      </c>
      <c r="C275" t="s">
        <v>237</v>
      </c>
      <c r="D275" t="s">
        <v>10</v>
      </c>
      <c r="E275" t="s">
        <v>386</v>
      </c>
      <c r="F275" t="s">
        <v>12</v>
      </c>
      <c r="G275" t="s">
        <v>239</v>
      </c>
    </row>
    <row r="276" spans="1:7" ht="15" customHeight="1" x14ac:dyDescent="0.25">
      <c r="A276" t="s">
        <v>144</v>
      </c>
      <c r="B276" t="s">
        <v>255</v>
      </c>
      <c r="C276" t="s">
        <v>237</v>
      </c>
      <c r="D276" t="s">
        <v>10</v>
      </c>
      <c r="E276" t="s">
        <v>387</v>
      </c>
      <c r="F276" t="s">
        <v>12</v>
      </c>
      <c r="G276" t="s">
        <v>239</v>
      </c>
    </row>
    <row r="277" spans="1:7" ht="15" customHeight="1" x14ac:dyDescent="0.25">
      <c r="A277" t="s">
        <v>144</v>
      </c>
      <c r="B277" t="s">
        <v>257</v>
      </c>
      <c r="C277" t="s">
        <v>237</v>
      </c>
      <c r="D277" t="s">
        <v>10</v>
      </c>
      <c r="E277" t="s">
        <v>387</v>
      </c>
      <c r="F277" t="s">
        <v>12</v>
      </c>
      <c r="G277" t="s">
        <v>239</v>
      </c>
    </row>
    <row r="278" spans="1:7" ht="15" customHeight="1" x14ac:dyDescent="0.25">
      <c r="A278" t="s">
        <v>144</v>
      </c>
      <c r="B278" t="s">
        <v>33</v>
      </c>
      <c r="C278" t="s">
        <v>237</v>
      </c>
      <c r="D278" t="s">
        <v>10</v>
      </c>
      <c r="E278" t="s">
        <v>388</v>
      </c>
      <c r="F278" t="s">
        <v>12</v>
      </c>
      <c r="G278" t="s">
        <v>239</v>
      </c>
    </row>
    <row r="279" spans="1:7" ht="15" customHeight="1" x14ac:dyDescent="0.25">
      <c r="A279" t="s">
        <v>144</v>
      </c>
      <c r="B279" t="s">
        <v>259</v>
      </c>
      <c r="C279" t="s">
        <v>237</v>
      </c>
      <c r="D279" t="s">
        <v>10</v>
      </c>
      <c r="E279" t="s">
        <v>389</v>
      </c>
      <c r="F279" t="s">
        <v>12</v>
      </c>
      <c r="G279" t="s">
        <v>239</v>
      </c>
    </row>
    <row r="280" spans="1:7" ht="15" customHeight="1" x14ac:dyDescent="0.25">
      <c r="A280" t="s">
        <v>144</v>
      </c>
      <c r="B280" t="s">
        <v>261</v>
      </c>
      <c r="C280" t="s">
        <v>237</v>
      </c>
      <c r="D280" t="s">
        <v>10</v>
      </c>
      <c r="E280" t="s">
        <v>390</v>
      </c>
      <c r="F280" t="s">
        <v>12</v>
      </c>
      <c r="G280" t="s">
        <v>239</v>
      </c>
    </row>
    <row r="281" spans="1:7" ht="15" customHeight="1" x14ac:dyDescent="0.25">
      <c r="A281" t="s">
        <v>144</v>
      </c>
      <c r="B281" t="s">
        <v>263</v>
      </c>
      <c r="C281" t="s">
        <v>237</v>
      </c>
      <c r="D281" t="s">
        <v>10</v>
      </c>
      <c r="E281" t="s">
        <v>391</v>
      </c>
      <c r="F281" t="s">
        <v>12</v>
      </c>
      <c r="G281" t="s">
        <v>239</v>
      </c>
    </row>
    <row r="282" spans="1:7" ht="15" customHeight="1" x14ac:dyDescent="0.25">
      <c r="A282" t="s">
        <v>392</v>
      </c>
    </row>
    <row r="283" spans="1:7" ht="15" customHeight="1" x14ac:dyDescent="0.25">
      <c r="A283" t="s">
        <v>393</v>
      </c>
    </row>
    <row r="284" spans="1:7" ht="15" customHeight="1" x14ac:dyDescent="0.25">
      <c r="A284" t="s">
        <v>394</v>
      </c>
    </row>
    <row r="285" spans="1:7" ht="15" customHeight="1" x14ac:dyDescent="0.25">
      <c r="A285" t="s">
        <v>395</v>
      </c>
    </row>
    <row r="286" spans="1:7" ht="15" customHeight="1" x14ac:dyDescent="0.25">
      <c r="A286" t="s">
        <v>396</v>
      </c>
    </row>
    <row r="287" spans="1:7" ht="15" customHeight="1" x14ac:dyDescent="0.25">
      <c r="A287" t="s">
        <v>397</v>
      </c>
    </row>
    <row r="288" spans="1:7" ht="15" customHeight="1" x14ac:dyDescent="0.25">
      <c r="A288" t="s">
        <v>398</v>
      </c>
    </row>
    <row r="289" spans="1:7" ht="15" customHeight="1" x14ac:dyDescent="0.25">
      <c r="A289" t="s">
        <v>399</v>
      </c>
    </row>
    <row r="290" spans="1:7" ht="15" customHeight="1" x14ac:dyDescent="0.25">
      <c r="A290" t="s">
        <v>400</v>
      </c>
    </row>
    <row r="291" spans="1:7" ht="15" customHeight="1" x14ac:dyDescent="0.25">
      <c r="A291" t="s">
        <v>401</v>
      </c>
    </row>
    <row r="293" spans="1:7" ht="15" customHeight="1" x14ac:dyDescent="0.25">
      <c r="A293" t="s">
        <v>402</v>
      </c>
      <c r="B293" t="s">
        <v>403</v>
      </c>
      <c r="C293" t="s">
        <v>404</v>
      </c>
      <c r="D293" t="s">
        <v>10</v>
      </c>
      <c r="E293" t="s">
        <v>405</v>
      </c>
      <c r="F293" t="s">
        <v>12</v>
      </c>
      <c r="G293" t="s">
        <v>239</v>
      </c>
    </row>
    <row r="294" spans="1:7" ht="15" customHeight="1" x14ac:dyDescent="0.25">
      <c r="A294" t="s">
        <v>406</v>
      </c>
      <c r="B294" t="s">
        <v>407</v>
      </c>
      <c r="C294" t="s">
        <v>404</v>
      </c>
      <c r="D294" t="s">
        <v>10</v>
      </c>
      <c r="E294" t="s">
        <v>408</v>
      </c>
      <c r="F294" t="s">
        <v>12</v>
      </c>
      <c r="G294" t="s">
        <v>239</v>
      </c>
    </row>
    <row r="295" spans="1:7" ht="15" customHeight="1" x14ac:dyDescent="0.25">
      <c r="A295" t="s">
        <v>406</v>
      </c>
      <c r="B295" t="s">
        <v>14</v>
      </c>
      <c r="C295" t="s">
        <v>404</v>
      </c>
      <c r="D295" t="s">
        <v>10</v>
      </c>
      <c r="E295" t="s">
        <v>409</v>
      </c>
      <c r="F295" t="s">
        <v>12</v>
      </c>
      <c r="G295" t="s">
        <v>239</v>
      </c>
    </row>
    <row r="296" spans="1:7" ht="15" customHeight="1" x14ac:dyDescent="0.25">
      <c r="A296" t="s">
        <v>406</v>
      </c>
      <c r="B296" t="s">
        <v>410</v>
      </c>
      <c r="C296" t="s">
        <v>404</v>
      </c>
      <c r="D296" t="s">
        <v>411</v>
      </c>
      <c r="E296" t="s">
        <v>412</v>
      </c>
      <c r="F296" t="s">
        <v>12</v>
      </c>
      <c r="G296" t="s">
        <v>239</v>
      </c>
    </row>
    <row r="297" spans="1:7" ht="15" customHeight="1" x14ac:dyDescent="0.25">
      <c r="A297" t="s">
        <v>406</v>
      </c>
      <c r="B297" t="s">
        <v>413</v>
      </c>
      <c r="C297" t="s">
        <v>404</v>
      </c>
      <c r="D297" t="s">
        <v>10</v>
      </c>
      <c r="E297" t="s">
        <v>414</v>
      </c>
      <c r="F297" t="s">
        <v>12</v>
      </c>
      <c r="G297" t="s">
        <v>239</v>
      </c>
    </row>
    <row r="298" spans="1:7" ht="15" customHeight="1" x14ac:dyDescent="0.25">
      <c r="A298" t="s">
        <v>406</v>
      </c>
      <c r="B298" t="s">
        <v>415</v>
      </c>
      <c r="C298" t="s">
        <v>404</v>
      </c>
      <c r="D298" t="s">
        <v>10</v>
      </c>
      <c r="E298" t="s">
        <v>416</v>
      </c>
      <c r="F298" t="s">
        <v>12</v>
      </c>
      <c r="G298" t="s">
        <v>239</v>
      </c>
    </row>
    <row r="299" spans="1:7" ht="15" customHeight="1" x14ac:dyDescent="0.25">
      <c r="A299" t="s">
        <v>406</v>
      </c>
      <c r="B299" t="s">
        <v>417</v>
      </c>
      <c r="C299" t="s">
        <v>404</v>
      </c>
      <c r="D299" t="s">
        <v>10</v>
      </c>
      <c r="E299" t="s">
        <v>418</v>
      </c>
      <c r="F299" t="s">
        <v>12</v>
      </c>
      <c r="G299" t="s">
        <v>239</v>
      </c>
    </row>
    <row r="300" spans="1:7" ht="15" customHeight="1" x14ac:dyDescent="0.25">
      <c r="A300" t="s">
        <v>406</v>
      </c>
      <c r="B300" t="s">
        <v>419</v>
      </c>
      <c r="C300" t="s">
        <v>404</v>
      </c>
      <c r="D300" t="s">
        <v>10</v>
      </c>
      <c r="E300" t="s">
        <v>420</v>
      </c>
      <c r="F300" t="s">
        <v>12</v>
      </c>
      <c r="G300" t="s">
        <v>239</v>
      </c>
    </row>
    <row r="301" spans="1:7" ht="15" customHeight="1" x14ac:dyDescent="0.25">
      <c r="A301" t="s">
        <v>406</v>
      </c>
      <c r="B301" t="s">
        <v>421</v>
      </c>
      <c r="C301" t="s">
        <v>404</v>
      </c>
      <c r="D301" t="s">
        <v>10</v>
      </c>
      <c r="E301" t="s">
        <v>420</v>
      </c>
      <c r="F301" t="s">
        <v>12</v>
      </c>
      <c r="G301" t="s">
        <v>239</v>
      </c>
    </row>
    <row r="302" spans="1:7" ht="15" customHeight="1" x14ac:dyDescent="0.25">
      <c r="A302" t="s">
        <v>406</v>
      </c>
      <c r="B302" t="s">
        <v>422</v>
      </c>
      <c r="C302" t="s">
        <v>404</v>
      </c>
      <c r="D302" t="s">
        <v>10</v>
      </c>
      <c r="E302" t="s">
        <v>423</v>
      </c>
      <c r="F302" t="s">
        <v>12</v>
      </c>
      <c r="G302" t="s">
        <v>239</v>
      </c>
    </row>
    <row r="303" spans="1:7" ht="15" customHeight="1" x14ac:dyDescent="0.25">
      <c r="A303" t="s">
        <v>406</v>
      </c>
      <c r="B303" t="s">
        <v>424</v>
      </c>
      <c r="C303" t="s">
        <v>404</v>
      </c>
      <c r="D303" t="s">
        <v>10</v>
      </c>
      <c r="E303" t="s">
        <v>425</v>
      </c>
      <c r="F303" t="s">
        <v>12</v>
      </c>
      <c r="G303" t="s">
        <v>239</v>
      </c>
    </row>
    <row r="304" spans="1:7" ht="15" customHeight="1" x14ac:dyDescent="0.25">
      <c r="A304" t="s">
        <v>406</v>
      </c>
      <c r="B304" t="s">
        <v>426</v>
      </c>
      <c r="C304" t="s">
        <v>404</v>
      </c>
      <c r="D304" t="s">
        <v>10</v>
      </c>
      <c r="E304" t="s">
        <v>425</v>
      </c>
      <c r="F304" t="s">
        <v>12</v>
      </c>
      <c r="G304" t="s">
        <v>239</v>
      </c>
    </row>
    <row r="305" spans="1:7" ht="15" customHeight="1" x14ac:dyDescent="0.25">
      <c r="A305" t="s">
        <v>427</v>
      </c>
      <c r="B305" t="s">
        <v>428</v>
      </c>
      <c r="C305" t="s">
        <v>404</v>
      </c>
      <c r="D305" t="s">
        <v>10</v>
      </c>
      <c r="E305" t="s">
        <v>429</v>
      </c>
      <c r="F305" t="s">
        <v>12</v>
      </c>
      <c r="G305" t="s">
        <v>430</v>
      </c>
    </row>
    <row r="306" spans="1:7" ht="15" customHeight="1" x14ac:dyDescent="0.25">
      <c r="A306" t="s">
        <v>427</v>
      </c>
      <c r="B306" t="s">
        <v>14</v>
      </c>
      <c r="C306" t="s">
        <v>404</v>
      </c>
      <c r="D306" t="s">
        <v>10</v>
      </c>
      <c r="E306" t="s">
        <v>431</v>
      </c>
      <c r="F306" t="s">
        <v>12</v>
      </c>
      <c r="G306" t="s">
        <v>430</v>
      </c>
    </row>
    <row r="307" spans="1:7" ht="15" customHeight="1" x14ac:dyDescent="0.25">
      <c r="A307" t="s">
        <v>427</v>
      </c>
      <c r="B307" t="s">
        <v>432</v>
      </c>
      <c r="C307" t="s">
        <v>404</v>
      </c>
      <c r="D307" t="s">
        <v>10</v>
      </c>
      <c r="E307" t="s">
        <v>433</v>
      </c>
      <c r="F307" t="s">
        <v>12</v>
      </c>
      <c r="G307" t="s">
        <v>430</v>
      </c>
    </row>
    <row r="308" spans="1:7" ht="15" customHeight="1" x14ac:dyDescent="0.25">
      <c r="A308" t="s">
        <v>427</v>
      </c>
      <c r="B308" t="s">
        <v>413</v>
      </c>
      <c r="C308" t="s">
        <v>404</v>
      </c>
      <c r="D308" t="s">
        <v>10</v>
      </c>
      <c r="E308" t="s">
        <v>434</v>
      </c>
      <c r="F308" t="s">
        <v>12</v>
      </c>
      <c r="G308" t="s">
        <v>430</v>
      </c>
    </row>
    <row r="309" spans="1:7" ht="15" customHeight="1" x14ac:dyDescent="0.25">
      <c r="A309" t="s">
        <v>427</v>
      </c>
      <c r="B309" t="s">
        <v>415</v>
      </c>
      <c r="C309" t="s">
        <v>404</v>
      </c>
      <c r="D309" t="s">
        <v>10</v>
      </c>
      <c r="E309" t="s">
        <v>435</v>
      </c>
      <c r="F309" t="s">
        <v>12</v>
      </c>
      <c r="G309" t="s">
        <v>430</v>
      </c>
    </row>
    <row r="310" spans="1:7" ht="15" customHeight="1" x14ac:dyDescent="0.25">
      <c r="A310" t="s">
        <v>427</v>
      </c>
      <c r="B310" t="s">
        <v>417</v>
      </c>
      <c r="C310" t="s">
        <v>404</v>
      </c>
      <c r="D310" t="s">
        <v>10</v>
      </c>
      <c r="E310" t="s">
        <v>436</v>
      </c>
      <c r="F310" t="s">
        <v>12</v>
      </c>
      <c r="G310" t="s">
        <v>430</v>
      </c>
    </row>
    <row r="311" spans="1:7" ht="15" customHeight="1" x14ac:dyDescent="0.25">
      <c r="A311" t="s">
        <v>427</v>
      </c>
      <c r="B311" t="s">
        <v>419</v>
      </c>
      <c r="C311" t="s">
        <v>404</v>
      </c>
      <c r="D311" t="s">
        <v>10</v>
      </c>
      <c r="E311" t="s">
        <v>437</v>
      </c>
      <c r="F311" t="s">
        <v>12</v>
      </c>
      <c r="G311" t="s">
        <v>430</v>
      </c>
    </row>
    <row r="312" spans="1:7" ht="15" customHeight="1" x14ac:dyDescent="0.25">
      <c r="A312" t="s">
        <v>427</v>
      </c>
      <c r="B312" t="s">
        <v>438</v>
      </c>
      <c r="C312" t="s">
        <v>404</v>
      </c>
      <c r="D312" t="s">
        <v>10</v>
      </c>
      <c r="E312" t="s">
        <v>439</v>
      </c>
      <c r="F312" t="s">
        <v>12</v>
      </c>
      <c r="G312" t="s">
        <v>430</v>
      </c>
    </row>
    <row r="313" spans="1:7" ht="15" customHeight="1" x14ac:dyDescent="0.25">
      <c r="A313" t="s">
        <v>427</v>
      </c>
      <c r="B313" t="s">
        <v>440</v>
      </c>
      <c r="C313" t="s">
        <v>404</v>
      </c>
      <c r="D313" t="s">
        <v>10</v>
      </c>
      <c r="E313" t="s">
        <v>441</v>
      </c>
      <c r="F313" t="s">
        <v>12</v>
      </c>
      <c r="G313" t="s">
        <v>430</v>
      </c>
    </row>
    <row r="314" spans="1:7" ht="15" customHeight="1" x14ac:dyDescent="0.25">
      <c r="A314" t="s">
        <v>427</v>
      </c>
      <c r="B314" t="s">
        <v>422</v>
      </c>
      <c r="C314" t="s">
        <v>404</v>
      </c>
      <c r="D314" t="s">
        <v>10</v>
      </c>
      <c r="E314" t="s">
        <v>442</v>
      </c>
      <c r="F314" t="s">
        <v>12</v>
      </c>
      <c r="G314" t="s">
        <v>430</v>
      </c>
    </row>
    <row r="315" spans="1:7" ht="15" customHeight="1" x14ac:dyDescent="0.25">
      <c r="A315" t="s">
        <v>427</v>
      </c>
      <c r="B315" t="s">
        <v>424</v>
      </c>
      <c r="C315" t="s">
        <v>404</v>
      </c>
      <c r="D315" t="s">
        <v>10</v>
      </c>
      <c r="E315" t="s">
        <v>443</v>
      </c>
      <c r="F315" t="s">
        <v>12</v>
      </c>
      <c r="G315" t="s">
        <v>430</v>
      </c>
    </row>
    <row r="316" spans="1:7" ht="15" customHeight="1" x14ac:dyDescent="0.25">
      <c r="A316" t="s">
        <v>427</v>
      </c>
      <c r="B316" t="s">
        <v>444</v>
      </c>
      <c r="C316" t="s">
        <v>404</v>
      </c>
      <c r="D316" t="s">
        <v>10</v>
      </c>
      <c r="E316" t="s">
        <v>445</v>
      </c>
      <c r="F316" t="s">
        <v>12</v>
      </c>
      <c r="G316" t="s">
        <v>430</v>
      </c>
    </row>
    <row r="317" spans="1:7" ht="15" customHeight="1" x14ac:dyDescent="0.25">
      <c r="A317" t="s">
        <v>427</v>
      </c>
      <c r="B317" t="s">
        <v>446</v>
      </c>
      <c r="C317" t="s">
        <v>404</v>
      </c>
      <c r="D317" t="s">
        <v>10</v>
      </c>
      <c r="E317" t="s">
        <v>447</v>
      </c>
      <c r="F317" t="s">
        <v>12</v>
      </c>
      <c r="G317" t="s">
        <v>430</v>
      </c>
    </row>
    <row r="318" spans="1:7" ht="15" customHeight="1" x14ac:dyDescent="0.25">
      <c r="A318" t="s">
        <v>427</v>
      </c>
      <c r="B318" t="s">
        <v>448</v>
      </c>
      <c r="C318" t="s">
        <v>404</v>
      </c>
      <c r="D318" t="s">
        <v>10</v>
      </c>
      <c r="E318" t="s">
        <v>449</v>
      </c>
      <c r="F318" t="s">
        <v>12</v>
      </c>
      <c r="G318" t="s">
        <v>430</v>
      </c>
    </row>
    <row r="319" spans="1:7" ht="15" customHeight="1" x14ac:dyDescent="0.25">
      <c r="A319" t="s">
        <v>427</v>
      </c>
      <c r="B319" t="s">
        <v>450</v>
      </c>
      <c r="C319" t="s">
        <v>404</v>
      </c>
      <c r="D319" t="s">
        <v>10</v>
      </c>
      <c r="E319" t="s">
        <v>451</v>
      </c>
      <c r="F319" t="s">
        <v>12</v>
      </c>
      <c r="G319" t="s">
        <v>430</v>
      </c>
    </row>
    <row r="320" spans="1:7" ht="15" customHeight="1" x14ac:dyDescent="0.25">
      <c r="A320" t="s">
        <v>452</v>
      </c>
      <c r="B320" t="s">
        <v>453</v>
      </c>
      <c r="C320" t="s">
        <v>404</v>
      </c>
      <c r="D320" t="s">
        <v>10</v>
      </c>
      <c r="E320" t="s">
        <v>454</v>
      </c>
      <c r="F320" t="s">
        <v>12</v>
      </c>
      <c r="G320" t="s">
        <v>430</v>
      </c>
    </row>
    <row r="321" spans="1:7" ht="15" customHeight="1" x14ac:dyDescent="0.25">
      <c r="A321" t="s">
        <v>406</v>
      </c>
      <c r="B321" t="s">
        <v>455</v>
      </c>
      <c r="C321" t="s">
        <v>404</v>
      </c>
      <c r="D321" t="s">
        <v>10</v>
      </c>
      <c r="E321" t="s">
        <v>456</v>
      </c>
      <c r="F321" t="s">
        <v>12</v>
      </c>
      <c r="G321" t="s">
        <v>430</v>
      </c>
    </row>
    <row r="322" spans="1:7" ht="15" customHeight="1" x14ac:dyDescent="0.25">
      <c r="A322" t="s">
        <v>406</v>
      </c>
      <c r="B322" t="s">
        <v>457</v>
      </c>
      <c r="C322" t="s">
        <v>404</v>
      </c>
      <c r="D322" t="s">
        <v>10</v>
      </c>
      <c r="E322" t="s">
        <v>458</v>
      </c>
      <c r="F322" t="s">
        <v>12</v>
      </c>
      <c r="G322" t="s">
        <v>430</v>
      </c>
    </row>
    <row r="323" spans="1:7" ht="15" customHeight="1" x14ac:dyDescent="0.25">
      <c r="A323" t="s">
        <v>406</v>
      </c>
      <c r="B323" t="s">
        <v>450</v>
      </c>
      <c r="C323" t="s">
        <v>404</v>
      </c>
      <c r="D323" t="s">
        <v>10</v>
      </c>
      <c r="E323" t="s">
        <v>459</v>
      </c>
      <c r="F323" t="s">
        <v>12</v>
      </c>
      <c r="G323" t="s">
        <v>430</v>
      </c>
    </row>
  </sheetData>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32"/>
  <sheetViews>
    <sheetView zoomScaleNormal="100" workbookViewId="0"/>
  </sheetViews>
  <sheetFormatPr defaultColWidth="8.7109375" defaultRowHeight="15" x14ac:dyDescent="0.25"/>
  <cols>
    <col min="1" max="29" width="15" customWidth="1"/>
    <col min="31" max="32" width="15" customWidth="1"/>
  </cols>
  <sheetData>
    <row r="1" spans="1:32" ht="15" customHeight="1" x14ac:dyDescent="0.25">
      <c r="A1" s="32" t="s">
        <v>590</v>
      </c>
    </row>
    <row r="2" spans="1:32" ht="15" customHeight="1" x14ac:dyDescent="0.25">
      <c r="A2" s="33" t="s">
        <v>591</v>
      </c>
    </row>
    <row r="3" spans="1:32" ht="63" customHeight="1" x14ac:dyDescent="0.25">
      <c r="A3" s="6" t="s">
        <v>468</v>
      </c>
      <c r="B3" s="6" t="s">
        <v>592</v>
      </c>
      <c r="C3" s="6" t="s">
        <v>492</v>
      </c>
      <c r="D3" s="6" t="s">
        <v>550</v>
      </c>
      <c r="E3" s="6" t="s">
        <v>593</v>
      </c>
      <c r="F3" s="6" t="s">
        <v>552</v>
      </c>
      <c r="G3" s="6" t="s">
        <v>553</v>
      </c>
      <c r="H3" s="6" t="s">
        <v>554</v>
      </c>
      <c r="I3" s="6" t="s">
        <v>555</v>
      </c>
      <c r="J3" s="6" t="s">
        <v>495</v>
      </c>
      <c r="K3" s="6" t="s">
        <v>496</v>
      </c>
      <c r="L3" s="6" t="s">
        <v>469</v>
      </c>
      <c r="M3" s="6" t="s">
        <v>484</v>
      </c>
      <c r="N3" s="6" t="s">
        <v>471</v>
      </c>
      <c r="O3" s="6" t="s">
        <v>478</v>
      </c>
      <c r="P3" s="6" t="s">
        <v>556</v>
      </c>
      <c r="Q3" s="6" t="s">
        <v>557</v>
      </c>
      <c r="R3" s="6" t="s">
        <v>558</v>
      </c>
      <c r="S3" s="6" t="s">
        <v>559</v>
      </c>
      <c r="T3" s="6" t="s">
        <v>560</v>
      </c>
      <c r="U3" s="6" t="s">
        <v>561</v>
      </c>
      <c r="V3" s="6" t="s">
        <v>562</v>
      </c>
      <c r="W3" s="6" t="s">
        <v>563</v>
      </c>
      <c r="X3" s="6" t="s">
        <v>564</v>
      </c>
      <c r="Y3" s="6" t="s">
        <v>565</v>
      </c>
      <c r="Z3" s="6" t="s">
        <v>566</v>
      </c>
      <c r="AA3" s="6" t="s">
        <v>567</v>
      </c>
      <c r="AB3" s="6" t="s">
        <v>568</v>
      </c>
      <c r="AC3" s="6" t="s">
        <v>569</v>
      </c>
      <c r="AE3" s="34" t="s">
        <v>570</v>
      </c>
      <c r="AF3" s="34" t="s">
        <v>571</v>
      </c>
    </row>
    <row r="4" spans="1:32" ht="15" customHeight="1" x14ac:dyDescent="0.25">
      <c r="A4">
        <v>2016</v>
      </c>
      <c r="B4" s="35">
        <f>INDEX(FR!$Z$8:$Z$17,MATCH($A4,FR!$A$8:$A$17,0))</f>
        <v>6.8418929309291915E-2</v>
      </c>
      <c r="C4" s="35">
        <f>INDEX(FR!$Y$8:$Y$17,MATCH($A4,FR!$A$8:$A$17,0))</f>
        <v>2.4500000000000001E-2</v>
      </c>
      <c r="D4" s="36">
        <f t="shared" ref="D4:D13" si="0">B4-C4</f>
        <v>4.3918929309291914E-2</v>
      </c>
      <c r="E4" s="35">
        <f>INDEX(FR!$AA$8:$AA$17,MATCH($A4,FR!$A$8:$A$17,0))</f>
        <v>8.1326266606207176E-2</v>
      </c>
      <c r="F4" s="36">
        <f t="shared" ref="F4:F13" si="1">E4-B4</f>
        <v>1.2907337296915261E-2</v>
      </c>
      <c r="G4" s="35">
        <f>INDEX('Costar - US Industrial'!$F$2:$F$28,MATCH(TEXT($A4,"0"),'Costar - US Industrial'!$A$2:$A$28,0))</f>
        <v>5.2253933059267697E-2</v>
      </c>
      <c r="H4" s="35">
        <f>INDEX('Costar - US Industrial'!$I$2:$I$28,MATCH(TEXT($A4,"0"),'Costar - US Industrial'!$A$2:$A$28,0))</f>
        <v>5.4470517273195899E-2</v>
      </c>
      <c r="I4" s="35">
        <f>INDEX('Costar - US Industrial'!$C$2:$C$28,MATCH(TEXT($A4,"0"),'Costar - US Industrial'!$A$2:$A$28,0))/INDEX('Costar - US Industrial'!$B$2:$B$28,MATCH(TEXT($A4,"0"),'Costar - US Industrial'!$A$2:$A$28,0))</f>
        <v>1.105087504347458E-2</v>
      </c>
      <c r="J4" s="25">
        <f>INDEX(FR!$AB$8:$AB$17,MATCH($A4,FR!$A$8:$A$17,0))</f>
        <v>14.615838191203482</v>
      </c>
      <c r="K4" s="25">
        <f>INDEX(FR!$AC$8:$AC$17,MATCH($A4,FR!$A$8:$A$17,0))</f>
        <v>12.296150330398612</v>
      </c>
      <c r="L4" s="5">
        <f>INDEX(FR!$B$8:$B$17,MATCH($A4,FR!$A$8:$A$17,0))</f>
        <v>265.69600000000003</v>
      </c>
      <c r="M4" s="5">
        <f>INDEX(FR!$Q$8:$Q$17,MATCH($A4,FR!$A$8:$A$17,0))</f>
        <v>3883.3697440500005</v>
      </c>
      <c r="N4" s="5">
        <f>INDEX(FR!$D$8:$D$17,MATCH($A4,FR!$A$8:$A$17,0))</f>
        <v>206.26600000000002</v>
      </c>
      <c r="O4" s="5">
        <f>INDEX(FR!$K$8:$K$17,MATCH($A4,FR!$A$8:$A$17,0))</f>
        <v>2536.2777440500004</v>
      </c>
      <c r="P4" s="24">
        <f>INDEX('Prime Rate'!$B$2:$B$11,MATCH($A4,'Prime Rate'!$A$2:$A$11,0))/100</f>
        <v>3.5099999999999999E-2</v>
      </c>
      <c r="Q4" s="5">
        <f t="shared" ref="Q4:Q13" si="2">M4-L4</f>
        <v>3617.6737440500006</v>
      </c>
      <c r="R4" s="5">
        <f t="shared" ref="R4:R13" si="3">O4-N4</f>
        <v>2330.0117440500003</v>
      </c>
      <c r="S4" s="31">
        <f>INDEX(Inflation!$G$4:$G$19,MATCH($A4,Inflation!$A$4:$A$19,0))</f>
        <v>1.2670779149543066E-2</v>
      </c>
      <c r="T4" s="24">
        <f>INDEX('Green Street National'!$D$4:$D$18,MATCH($A4,'Green Street National'!$A$4:$A$18,0))</f>
        <v>5.8150930000000003E-2</v>
      </c>
      <c r="U4" s="37">
        <f>INDEX('Green Street National'!$F$4:$F$18,MATCH($A4,'Green Street National'!$A$4:$A$18,0))</f>
        <v>100</v>
      </c>
      <c r="V4" s="37">
        <f>INDEX(Inflation!$D$4:$D$19,MATCH($A4,Inflation!$A$4:$A$19,0))</f>
        <v>100</v>
      </c>
      <c r="W4" s="37">
        <f>INDEX(Inflation!$E$4:$E$19,MATCH($A4,Inflation!$A$4:$A$19,0))</f>
        <v>100</v>
      </c>
      <c r="X4" s="37">
        <f>INDEX('Costar - US Industrial'!$H$2:$H$28,MATCH(TEXT($A4,"0"),'Costar - US Industrial'!$A$2:$A$28,0))/'Costar - US Industrial'!$H$18*100</f>
        <v>100</v>
      </c>
      <c r="Y4" s="31">
        <f>INDEX('Green Street National'!$C$4:$C$18,MATCH($A4,'Green Street National'!$A$4:$A$18,0))</f>
        <v>6.7850380000000002E-2</v>
      </c>
      <c r="Z4" s="31">
        <f>INDEX('Costar - US Industrial'!$F$2:$F$28,MATCH(TEXT($A4-1,"0"),'Costar - US Industrial'!$A$2:$A$28,0))-INDEX('Costar - US Industrial'!$F$2:$F$28,MATCH(TEXT($A4,"0"),'Costar - US Industrial'!$A$2:$A$28,0))</f>
        <v>6.7741451500690011E-3</v>
      </c>
      <c r="AA4" s="38">
        <f>INDEX('Costar - US Industrial'!$H$2:$H$28,MATCH(TEXT($A4,"0"),'Costar - US Industrial'!$A$2:$A$28,0))</f>
        <v>7.2084040180553197</v>
      </c>
      <c r="AB4" s="31">
        <f>1-INDEX('Costar - US Industrial'!$F$2:$F$28,MATCH(TEXT($A4,"0"),'Costar - US Industrial'!$A$2:$A$28,0))</f>
        <v>0.94774606694073227</v>
      </c>
      <c r="AC4">
        <v>100</v>
      </c>
      <c r="AE4" s="39" t="str">
        <f>""</f>
        <v/>
      </c>
      <c r="AF4" s="39" t="str">
        <f>""</f>
        <v/>
      </c>
    </row>
    <row r="5" spans="1:32" ht="15" customHeight="1" x14ac:dyDescent="0.25">
      <c r="A5">
        <v>2017</v>
      </c>
      <c r="B5" s="35">
        <f>INDEX(FR!$Z$8:$Z$17,MATCH($A5,FR!$A$8:$A$17,0))</f>
        <v>6.7014856293954053E-2</v>
      </c>
      <c r="C5" s="35">
        <f>INDEX(FR!$Y$8:$Y$17,MATCH($A5,FR!$A$8:$A$17,0))</f>
        <v>2.4E-2</v>
      </c>
      <c r="D5" s="36">
        <f t="shared" si="0"/>
        <v>4.3014856293954053E-2</v>
      </c>
      <c r="E5" s="35">
        <f>INDEX(FR!$AA$8:$AA$17,MATCH($A5,FR!$A$8:$A$17,0))</f>
        <v>7.7176699902957044E-2</v>
      </c>
      <c r="F5" s="36">
        <f t="shared" si="1"/>
        <v>1.0161843609002991E-2</v>
      </c>
      <c r="G5" s="35">
        <f>INDEX('Costar - US Industrial'!$F$2:$F$28,MATCH(TEXT($A5,"0"),'Costar - US Industrial'!$A$2:$A$28,0))</f>
        <v>4.9649774370652398E-2</v>
      </c>
      <c r="H5" s="35">
        <f>INDEX('Costar - US Industrial'!$I$2:$I$28,MATCH(TEXT($A5,"0"),'Costar - US Industrial'!$A$2:$A$28,0))</f>
        <v>5.72098544479408E-2</v>
      </c>
      <c r="I5" s="35">
        <f>INDEX('Costar - US Industrial'!$C$2:$C$28,MATCH(TEXT($A5,"0"),'Costar - US Industrial'!$A$2:$A$28,0))/INDEX('Costar - US Industrial'!$B$2:$B$28,MATCH(TEXT($A5,"0"),'Costar - US Industrial'!$A$2:$A$28,0))</f>
        <v>1.3345345205154608E-2</v>
      </c>
      <c r="J5" s="25">
        <f>INDEX(FR!$AB$8:$AB$17,MATCH($A5,FR!$A$8:$A$17,0))</f>
        <v>14.922064379480256</v>
      </c>
      <c r="K5" s="25">
        <f>INDEX(FR!$AC$8:$AC$17,MATCH($A5,FR!$A$8:$A$17,0))</f>
        <v>12.957278573162789</v>
      </c>
      <c r="L5" s="5">
        <f>INDEX(FR!$B$8:$B$17,MATCH($A5,FR!$A$8:$A$17,0))</f>
        <v>282.90800000000002</v>
      </c>
      <c r="M5" s="5">
        <f>INDEX(FR!$Q$8:$Q$17,MATCH($A5,FR!$A$8:$A$17,0))</f>
        <v>4221.5713894700002</v>
      </c>
      <c r="N5" s="5">
        <f>INDEX(FR!$D$8:$D$17,MATCH($A5,FR!$A$8:$A$17,0))</f>
        <v>225.709</v>
      </c>
      <c r="O5" s="5">
        <f>INDEX(FR!$K$8:$K$17,MATCH($A5,FR!$A$8:$A$17,0))</f>
        <v>2924.5743894699999</v>
      </c>
      <c r="P5" s="24">
        <f>INDEX('Prime Rate'!$B$2:$B$11,MATCH($A5,'Prime Rate'!$A$2:$A$11,0))/100</f>
        <v>4.0999999999999995E-2</v>
      </c>
      <c r="Q5" s="5">
        <f t="shared" si="2"/>
        <v>3938.6633894700003</v>
      </c>
      <c r="R5" s="5">
        <f t="shared" si="3"/>
        <v>2698.8653894700001</v>
      </c>
      <c r="S5" s="31">
        <f>INDEX(Inflation!$G$4:$G$19,MATCH($A5,Inflation!$A$4:$A$19,0))</f>
        <v>2.1316222578696253E-2</v>
      </c>
      <c r="T5" s="24">
        <f>INDEX('Green Street National'!$D$4:$D$18,MATCH($A5,'Green Street National'!$A$4:$A$18,0))</f>
        <v>5.5684129999999998E-2</v>
      </c>
      <c r="U5" s="37">
        <f>INDEX('Green Street National'!$F$4:$F$18,MATCH($A5,'Green Street National'!$A$4:$A$18,0))</f>
        <v>109.44425857524243</v>
      </c>
      <c r="V5" s="37">
        <f>INDEX(Inflation!$D$4:$D$19,MATCH($A5,Inflation!$A$4:$A$19,0))</f>
        <v>102.1961670162606</v>
      </c>
      <c r="W5" s="37">
        <f>INDEX(Inflation!$E$4:$E$19,MATCH($A5,Inflation!$A$4:$A$19,0))</f>
        <v>102.13162225786962</v>
      </c>
      <c r="X5" s="37">
        <f>INDEX('Costar - US Industrial'!$H$2:$H$28,MATCH(TEXT($A5,"0"),'Costar - US Industrial'!$A$2:$A$28,0))/'Costar - US Industrial'!$H$18*100</f>
        <v>105.72098544479414</v>
      </c>
      <c r="Y5" s="31">
        <f>INDEX('Green Street National'!$C$4:$C$18,MATCH($A5,'Green Street National'!$A$4:$A$18,0))</f>
        <v>5.6166010000000002E-2</v>
      </c>
      <c r="Z5" s="31">
        <f>INDEX('Costar - US Industrial'!$F$2:$F$28,MATCH(TEXT($A5-1,"0"),'Costar - US Industrial'!$A$2:$A$28,0))-INDEX('Costar - US Industrial'!$F$2:$F$28,MATCH(TEXT($A5,"0"),'Costar - US Industrial'!$A$2:$A$28,0))</f>
        <v>2.604158688615299E-3</v>
      </c>
      <c r="AA5" s="38">
        <f>INDEX('Costar - US Industrial'!$H$2:$H$28,MATCH(TEXT($A5,"0"),'Costar - US Industrial'!$A$2:$A$28,0))</f>
        <v>7.6207957627302196</v>
      </c>
      <c r="AB5" s="31">
        <f>1-INDEX('Costar - US Industrial'!$F$2:$F$28,MATCH(TEXT($A5,"0"),'Costar - US Industrial'!$A$2:$A$28,0))</f>
        <v>0.95035022562934757</v>
      </c>
      <c r="AC5">
        <f t="shared" ref="AC5:AC13" si="4">AC4*(1+Y5)</f>
        <v>105.616601</v>
      </c>
      <c r="AE5" s="39" t="str">
        <f t="shared" ref="AE5:AE13" si="5">IF(N(L4)=0,"",TEXT(L5/L4-1,"+0%;-0%"))</f>
        <v>+6%</v>
      </c>
      <c r="AF5" s="39" t="str">
        <f t="shared" ref="AF5:AF13" si="6">IF(N(N4)=0,"",TEXT(N5/N4-1,"+0%;-0%"))</f>
        <v>+9%</v>
      </c>
    </row>
    <row r="6" spans="1:32" ht="15" customHeight="1" x14ac:dyDescent="0.25">
      <c r="A6">
        <v>2018</v>
      </c>
      <c r="B6" s="35">
        <f>INDEX(FR!$Z$8:$Z$17,MATCH($A6,FR!$A$8:$A$17,0))</f>
        <v>6.8447511200747324E-2</v>
      </c>
      <c r="C6" s="35">
        <f>INDEX(FR!$Y$8:$Y$17,MATCH($A6,FR!$A$8:$A$17,0))</f>
        <v>2.69E-2</v>
      </c>
      <c r="D6" s="36">
        <f t="shared" si="0"/>
        <v>4.1547511200747324E-2</v>
      </c>
      <c r="E6" s="35">
        <f>INDEX(FR!$AA$8:$AA$17,MATCH($A6,FR!$A$8:$A$17,0))</f>
        <v>8.5868545649464334E-2</v>
      </c>
      <c r="F6" s="36">
        <f t="shared" si="1"/>
        <v>1.742103444871701E-2</v>
      </c>
      <c r="G6" s="35">
        <f>INDEX('Costar - US Industrial'!$F$2:$F$28,MATCH(TEXT($A6,"0"),'Costar - US Industrial'!$A$2:$A$28,0))</f>
        <v>4.6766791152018601E-2</v>
      </c>
      <c r="H6" s="35">
        <f>INDEX('Costar - US Industrial'!$I$2:$I$28,MATCH(TEXT($A6,"0"),'Costar - US Industrial'!$A$2:$A$28,0))</f>
        <v>5.7435897247827598E-2</v>
      </c>
      <c r="I6" s="35">
        <f>INDEX('Costar - US Industrial'!$C$2:$C$28,MATCH(TEXT($A6,"0"),'Costar - US Industrial'!$A$2:$A$28,0))/INDEX('Costar - US Industrial'!$B$2:$B$28,MATCH(TEXT($A6,"0"),'Costar - US Industrial'!$A$2:$A$28,0))</f>
        <v>1.3501732485549263E-2</v>
      </c>
      <c r="J6" s="25">
        <f>INDEX(FR!$AB$8:$AB$17,MATCH($A6,FR!$A$8:$A$17,0))</f>
        <v>14.609734999233716</v>
      </c>
      <c r="K6" s="25">
        <f>INDEX(FR!$AC$8:$AC$17,MATCH($A6,FR!$A$8:$A$17,0))</f>
        <v>11.645707894975141</v>
      </c>
      <c r="L6" s="5">
        <f>INDEX(FR!$B$8:$B$17,MATCH($A6,FR!$A$8:$A$17,0))</f>
        <v>287.10000000000002</v>
      </c>
      <c r="M6" s="5">
        <f>INDEX(FR!$Q$8:$Q$17,MATCH($A6,FR!$A$8:$A$17,0))</f>
        <v>4194.4549182800001</v>
      </c>
      <c r="N6" s="5">
        <f>INDEX(FR!$D$8:$D$17,MATCH($A6,FR!$A$8:$A$17,0))</f>
        <v>236.32500000000002</v>
      </c>
      <c r="O6" s="5">
        <f>INDEX(FR!$K$8:$K$17,MATCH($A6,FR!$A$8:$A$17,0))</f>
        <v>2752.1719182800002</v>
      </c>
      <c r="P6" s="24">
        <f>INDEX('Prime Rate'!$B$2:$B$11,MATCH($A6,'Prime Rate'!$A$2:$A$11,0))/100</f>
        <v>4.9000000000000002E-2</v>
      </c>
      <c r="Q6" s="5">
        <f t="shared" si="2"/>
        <v>3907.3549182800002</v>
      </c>
      <c r="R6" s="5">
        <f t="shared" si="3"/>
        <v>2515.8469182800004</v>
      </c>
      <c r="S6" s="31">
        <f>INDEX(Inflation!$G$4:$G$19,MATCH($A6,Inflation!$A$4:$A$19,0))</f>
        <v>2.4392034954165531E-2</v>
      </c>
      <c r="T6" s="24">
        <f>INDEX('Green Street National'!$D$4:$D$18,MATCH($A6,'Green Street National'!$A$4:$A$18,0))</f>
        <v>5.391642E-2</v>
      </c>
      <c r="U6" s="37">
        <f>INDEX('Green Street National'!$F$4:$F$18,MATCH($A6,'Green Street National'!$A$4:$A$18,0))</f>
        <v>121.46241901260227</v>
      </c>
      <c r="V6" s="37">
        <f>INDEX(Inflation!$D$4:$D$19,MATCH($A6,Inflation!$A$4:$A$19,0))</f>
        <v>106.49169042112622</v>
      </c>
      <c r="W6" s="37">
        <f>INDEX(Inflation!$E$4:$E$19,MATCH($A6,Inflation!$A$4:$A$19,0))</f>
        <v>104.62282035790922</v>
      </c>
      <c r="X6" s="37">
        <f>INDEX('Costar - US Industrial'!$H$2:$H$28,MATCH(TEXT($A6,"0"),'Costar - US Industrial'!$A$2:$A$28,0))/'Costar - US Industrial'!$H$18*100</f>
        <v>111.79316510174037</v>
      </c>
      <c r="Y6" s="31">
        <f>INDEX('Green Street National'!$C$4:$C$18,MATCH($A6,'Green Street National'!$A$4:$A$18,0))</f>
        <v>5.4186060000000001E-2</v>
      </c>
      <c r="Z6" s="31">
        <f>INDEX('Costar - US Industrial'!$F$2:$F$28,MATCH(TEXT($A6-1,"0"),'Costar - US Industrial'!$A$2:$A$28,0))-INDEX('Costar - US Industrial'!$F$2:$F$28,MATCH(TEXT($A6,"0"),'Costar - US Industrial'!$A$2:$A$28,0))</f>
        <v>2.8829832186337973E-3</v>
      </c>
      <c r="AA6" s="38">
        <f>INDEX('Costar - US Industrial'!$H$2:$H$28,MATCH(TEXT($A6,"0"),'Costar - US Industrial'!$A$2:$A$28,0))</f>
        <v>8.0585030051050701</v>
      </c>
      <c r="AB6" s="31">
        <f>1-INDEX('Costar - US Industrial'!$F$2:$F$28,MATCH(TEXT($A6,"0"),'Costar - US Industrial'!$A$2:$A$28,0))</f>
        <v>0.95323320884798135</v>
      </c>
      <c r="AC6">
        <f t="shared" si="4"/>
        <v>111.33954847878205</v>
      </c>
      <c r="AE6" s="39" t="str">
        <f t="shared" si="5"/>
        <v>+1%</v>
      </c>
      <c r="AF6" s="39" t="str">
        <f t="shared" si="6"/>
        <v>+5%</v>
      </c>
    </row>
    <row r="7" spans="1:32" ht="15" customHeight="1" x14ac:dyDescent="0.25">
      <c r="A7">
        <v>2019</v>
      </c>
      <c r="B7" s="35">
        <f>INDEX(FR!$Z$8:$Z$17,MATCH($A7,FR!$A$8:$A$17,0))</f>
        <v>5.3272141819811894E-2</v>
      </c>
      <c r="C7" s="35">
        <f>INDEX(FR!$Y$8:$Y$17,MATCH($A7,FR!$A$8:$A$17,0))</f>
        <v>1.9199999999999998E-2</v>
      </c>
      <c r="D7" s="36">
        <f t="shared" si="0"/>
        <v>3.4072141819811899E-2</v>
      </c>
      <c r="E7" s="35">
        <f>INDEX(FR!$AA$8:$AA$17,MATCH($A7,FR!$A$8:$A$17,0))</f>
        <v>5.9922810441834951E-2</v>
      </c>
      <c r="F7" s="36">
        <f t="shared" si="1"/>
        <v>6.6506686220230565E-3</v>
      </c>
      <c r="G7" s="35">
        <f>INDEX('Costar - US Industrial'!$F$2:$F$28,MATCH(TEXT($A7,"0"),'Costar - US Industrial'!$A$2:$A$28,0))</f>
        <v>5.0732433845904E-2</v>
      </c>
      <c r="H7" s="35">
        <f>INDEX('Costar - US Industrial'!$I$2:$I$28,MATCH(TEXT($A7,"0"),'Costar - US Industrial'!$A$2:$A$28,0))</f>
        <v>5.6740707446471E-2</v>
      </c>
      <c r="I7" s="35">
        <f>INDEX('Costar - US Industrial'!$C$2:$C$28,MATCH(TEXT($A7,"0"),'Costar - US Industrial'!$A$2:$A$28,0))/INDEX('Costar - US Industrial'!$B$2:$B$28,MATCH(TEXT($A7,"0"),'Costar - US Industrial'!$A$2:$A$28,0))</f>
        <v>1.520156978501716E-2</v>
      </c>
      <c r="J7" s="25">
        <f>INDEX(FR!$AB$8:$AB$17,MATCH($A7,FR!$A$8:$A$17,0))</f>
        <v>18.771537352156926</v>
      </c>
      <c r="K7" s="25">
        <f>INDEX(FR!$AC$8:$AC$17,MATCH($A7,FR!$A$8:$A$17,0))</f>
        <v>16.688135830522608</v>
      </c>
      <c r="L7" s="5">
        <f>INDEX(FR!$B$8:$B$17,MATCH($A7,FR!$A$8:$A$17,0))</f>
        <v>309.399</v>
      </c>
      <c r="M7" s="5">
        <f>INDEX(FR!$Q$8:$Q$17,MATCH($A7,FR!$A$8:$A$17,0))</f>
        <v>5807.894885220001</v>
      </c>
      <c r="N7" s="5">
        <f>INDEX(FR!$D$8:$D$17,MATCH($A7,FR!$A$8:$A$17,0))</f>
        <v>259.12599999999998</v>
      </c>
      <c r="O7" s="5">
        <f>INDEX(FR!$K$8:$K$17,MATCH($A7,FR!$A$8:$A$17,0))</f>
        <v>4324.3298852200005</v>
      </c>
      <c r="P7" s="24">
        <f>INDEX('Prime Rate'!$B$2:$B$11,MATCH($A7,'Prime Rate'!$A$2:$A$11,0))/100</f>
        <v>5.28E-2</v>
      </c>
      <c r="Q7" s="5">
        <f t="shared" si="2"/>
        <v>5498.4958852200007</v>
      </c>
      <c r="R7" s="5">
        <f t="shared" si="3"/>
        <v>4065.2038852200003</v>
      </c>
      <c r="S7" s="31">
        <f>INDEX(Inflation!$G$4:$G$19,MATCH($A7,Inflation!$A$4:$A$19,0))</f>
        <v>1.8132218239745201E-2</v>
      </c>
      <c r="T7" s="24">
        <f>INDEX('Green Street National'!$D$4:$D$18,MATCH($A7,'Green Street National'!$A$4:$A$18,0))</f>
        <v>5.0796620000000001E-2</v>
      </c>
      <c r="U7" s="37">
        <f>INDEX('Green Street National'!$F$4:$F$18,MATCH($A7,'Green Street National'!$A$4:$A$18,0))</f>
        <v>137.28576583568642</v>
      </c>
      <c r="V7" s="37">
        <f>INDEX(Inflation!$D$4:$D$19,MATCH($A7,Inflation!$A$4:$A$19,0))</f>
        <v>111.95252693666073</v>
      </c>
      <c r="W7" s="37">
        <f>INDEX(Inflation!$E$4:$E$19,MATCH($A7,Inflation!$A$4:$A$19,0))</f>
        <v>106.51986416949646</v>
      </c>
      <c r="X7" s="37">
        <f>INDEX('Costar - US Industrial'!$H$2:$H$28,MATCH(TEXT($A7,"0"),'Costar - US Industrial'!$A$2:$A$28,0))/'Costar - US Industrial'!$H$18*100</f>
        <v>118.13638837729331</v>
      </c>
      <c r="Y7" s="31">
        <f>INDEX('Green Street National'!$C$4:$C$18,MATCH($A7,'Green Street National'!$A$4:$A$18,0))</f>
        <v>5.6557040000000003E-2</v>
      </c>
      <c r="Z7" s="31">
        <f>INDEX('Costar - US Industrial'!$F$2:$F$28,MATCH(TEXT($A7-1,"0"),'Costar - US Industrial'!$A$2:$A$28,0))-INDEX('Costar - US Industrial'!$F$2:$F$28,MATCH(TEXT($A7,"0"),'Costar - US Industrial'!$A$2:$A$28,0))</f>
        <v>-3.9656426938853989E-3</v>
      </c>
      <c r="AA7" s="38">
        <f>INDEX('Costar - US Industrial'!$H$2:$H$28,MATCH(TEXT($A7,"0"),'Costar - US Industrial'!$A$2:$A$28,0))</f>
        <v>8.5157481665742498</v>
      </c>
      <c r="AB7" s="31">
        <f>1-INDEX('Costar - US Industrial'!$F$2:$F$28,MATCH(TEXT($A7,"0"),'Costar - US Industrial'!$A$2:$A$28,0))</f>
        <v>0.94926756615409602</v>
      </c>
      <c r="AC7">
        <f t="shared" si="4"/>
        <v>117.63658377567846</v>
      </c>
      <c r="AE7" s="39" t="str">
        <f t="shared" si="5"/>
        <v>+8%</v>
      </c>
      <c r="AF7" s="39" t="str">
        <f t="shared" si="6"/>
        <v>+10%</v>
      </c>
    </row>
    <row r="8" spans="1:32" ht="15" customHeight="1" x14ac:dyDescent="0.25">
      <c r="A8">
        <v>2020</v>
      </c>
      <c r="B8" s="35">
        <f>INDEX(FR!$Z$8:$Z$17,MATCH($A8,FR!$A$8:$A$17,0))</f>
        <v>5.4985111983935256E-2</v>
      </c>
      <c r="C8" s="35">
        <f>INDEX(FR!$Y$8:$Y$17,MATCH($A8,FR!$A$8:$A$17,0))</f>
        <v>9.300000000000001E-3</v>
      </c>
      <c r="D8" s="36">
        <f t="shared" si="0"/>
        <v>4.5685111983935253E-2</v>
      </c>
      <c r="E8" s="35">
        <f>INDEX(FR!$AA$8:$AA$17,MATCH($A8,FR!$A$8:$A$17,0))</f>
        <v>6.3282081444183458E-2</v>
      </c>
      <c r="F8" s="36">
        <f t="shared" si="1"/>
        <v>8.2969694602482019E-3</v>
      </c>
      <c r="G8" s="35">
        <f>INDEX('Costar - US Industrial'!$F$2:$F$28,MATCH(TEXT($A8,"0"),'Costar - US Industrial'!$A$2:$A$28,0))</f>
        <v>5.45368241986533E-2</v>
      </c>
      <c r="H8" s="35">
        <f>INDEX('Costar - US Industrial'!$I$2:$I$28,MATCH(TEXT($A8,"0"),'Costar - US Industrial'!$A$2:$A$28,0))</f>
        <v>5.83307173327988E-2</v>
      </c>
      <c r="I8" s="35">
        <f>INDEX('Costar - US Industrial'!$C$2:$C$28,MATCH(TEXT($A8,"0"),'Costar - US Industrial'!$A$2:$A$28,0))/INDEX('Costar - US Industrial'!$B$2:$B$28,MATCH(TEXT($A8,"0"),'Costar - US Industrial'!$A$2:$A$28,0))</f>
        <v>1.6861498232482647E-2</v>
      </c>
      <c r="J8" s="25">
        <f>INDEX(FR!$AB$8:$AB$17,MATCH($A8,FR!$A$8:$A$17,0))</f>
        <v>18.186741172631699</v>
      </c>
      <c r="K8" s="25">
        <f>INDEX(FR!$AC$8:$AC$17,MATCH($A8,FR!$A$8:$A$17,0))</f>
        <v>15.80226151192621</v>
      </c>
      <c r="L8" s="5">
        <f>INDEX(FR!$B$8:$B$17,MATCH($A8,FR!$A$8:$A$17,0))</f>
        <v>328.83300000000003</v>
      </c>
      <c r="M8" s="5">
        <f>INDEX(FR!$Q$8:$Q$17,MATCH($A8,FR!$A$8:$A$17,0))</f>
        <v>5980.40066002</v>
      </c>
      <c r="N8" s="5">
        <f>INDEX(FR!$D$8:$D$17,MATCH($A8,FR!$A$8:$A$17,0))</f>
        <v>277.54000000000002</v>
      </c>
      <c r="O8" s="5">
        <f>INDEX(FR!$K$8:$K$17,MATCH($A8,FR!$A$8:$A$17,0))</f>
        <v>4385.7596600200004</v>
      </c>
      <c r="P8" s="24">
        <f>INDEX('Prime Rate'!$B$2:$B$11,MATCH($A8,'Prime Rate'!$A$2:$A$11,0))/100</f>
        <v>3.5400000000000001E-2</v>
      </c>
      <c r="Q8" s="5">
        <f t="shared" si="2"/>
        <v>5651.5676600200004</v>
      </c>
      <c r="R8" s="5">
        <f t="shared" si="3"/>
        <v>4108.2196600200004</v>
      </c>
      <c r="S8" s="31">
        <f>INDEX(Inflation!$G$4:$G$19,MATCH($A8,Inflation!$A$4:$A$19,0))</f>
        <v>1.2528701012700871E-2</v>
      </c>
      <c r="T8" s="24">
        <f>INDEX('Green Street National'!$D$4:$D$18,MATCH($A8,'Green Street National'!$A$4:$A$18,0))</f>
        <v>4.8337989999999997E-2</v>
      </c>
      <c r="U8" s="37">
        <f>INDEX('Green Street National'!$F$4:$F$18,MATCH($A8,'Green Street National'!$A$4:$A$18,0))</f>
        <v>147.54207586613023</v>
      </c>
      <c r="V8" s="37">
        <f>INDEX(Inflation!$D$4:$D$19,MATCH($A8,Inflation!$A$4:$A$19,0))</f>
        <v>114.71611179834704</v>
      </c>
      <c r="W8" s="37">
        <f>INDEX(Inflation!$E$4:$E$19,MATCH($A8,Inflation!$A$4:$A$19,0))</f>
        <v>107.8544196995896</v>
      </c>
      <c r="X8" s="37">
        <f>INDEX('Costar - US Industrial'!$H$2:$H$28,MATCH(TEXT($A8,"0"),'Costar - US Industrial'!$A$2:$A$28,0))/'Costar - US Industrial'!$H$18*100</f>
        <v>125.02736865444692</v>
      </c>
      <c r="Y8" s="31">
        <f>INDEX('Green Street National'!$C$4:$C$18,MATCH($A8,'Green Street National'!$A$4:$A$18,0))</f>
        <v>3.1253759999999998E-2</v>
      </c>
      <c r="Z8" s="31">
        <f>INDEX('Costar - US Industrial'!$F$2:$F$28,MATCH(TEXT($A8-1,"0"),'Costar - US Industrial'!$A$2:$A$28,0))-INDEX('Costar - US Industrial'!$F$2:$F$28,MATCH(TEXT($A8,"0"),'Costar - US Industrial'!$A$2:$A$28,0))</f>
        <v>-3.8043903527492998E-3</v>
      </c>
      <c r="AA8" s="38">
        <f>INDEX('Costar - US Industrial'!$H$2:$H$28,MATCH(TEXT($A8,"0"),'Costar - US Industrial'!$A$2:$A$28,0))</f>
        <v>9.0124778657559901</v>
      </c>
      <c r="AB8" s="31">
        <f>1-INDEX('Costar - US Industrial'!$F$2:$F$28,MATCH(TEXT($A8,"0"),'Costar - US Industrial'!$A$2:$A$28,0))</f>
        <v>0.94546317580134676</v>
      </c>
      <c r="AC8">
        <f t="shared" si="4"/>
        <v>121.31316933222341</v>
      </c>
      <c r="AE8" s="39" t="str">
        <f t="shared" si="5"/>
        <v>+6%</v>
      </c>
      <c r="AF8" s="39" t="str">
        <f t="shared" si="6"/>
        <v>+7%</v>
      </c>
    </row>
    <row r="9" spans="1:32" ht="15" customHeight="1" x14ac:dyDescent="0.25">
      <c r="A9">
        <v>2021</v>
      </c>
      <c r="B9" s="35">
        <f>INDEX(FR!$Z$8:$Z$17,MATCH($A9,FR!$A$8:$A$17,0))</f>
        <v>3.8763762680504202E-2</v>
      </c>
      <c r="C9" s="35">
        <f>INDEX(FR!$Y$8:$Y$17,MATCH($A9,FR!$A$8:$A$17,0))</f>
        <v>1.52E-2</v>
      </c>
      <c r="D9" s="36">
        <f t="shared" si="0"/>
        <v>2.3563762680504204E-2</v>
      </c>
      <c r="E9" s="35">
        <f>INDEX(FR!$AA$8:$AA$17,MATCH($A9,FR!$A$8:$A$17,0))</f>
        <v>4.127514382356904E-2</v>
      </c>
      <c r="F9" s="36">
        <f t="shared" si="1"/>
        <v>2.5113811430648378E-3</v>
      </c>
      <c r="G9" s="35">
        <f>INDEX('Costar - US Industrial'!$F$2:$F$28,MATCH(TEXT($A9,"0"),'Costar - US Industrial'!$A$2:$A$28,0))</f>
        <v>4.13794988938916E-2</v>
      </c>
      <c r="H9" s="35">
        <f>INDEX('Costar - US Industrial'!$I$2:$I$28,MATCH(TEXT($A9,"0"),'Costar - US Industrial'!$A$2:$A$28,0))</f>
        <v>8.2679531974610906E-2</v>
      </c>
      <c r="I9" s="35">
        <f>INDEX('Costar - US Industrial'!$C$2:$C$28,MATCH(TEXT($A9,"0"),'Costar - US Industrial'!$A$2:$A$28,0))/INDEX('Costar - US Industrial'!$B$2:$B$28,MATCH(TEXT($A9,"0"),'Costar - US Industrial'!$A$2:$A$28,0))</f>
        <v>1.6772812695764656E-2</v>
      </c>
      <c r="J9" s="25">
        <f>INDEX(FR!$AB$8:$AB$17,MATCH($A9,FR!$A$8:$A$17,0))</f>
        <v>25.797289294182445</v>
      </c>
      <c r="K9" s="25">
        <f>INDEX(FR!$AC$8:$AC$17,MATCH($A9,FR!$A$8:$A$17,0))</f>
        <v>24.227656341417212</v>
      </c>
      <c r="L9" s="5">
        <f>INDEX(FR!$B$8:$B$17,MATCH($A9,FR!$A$8:$A$17,0))</f>
        <v>344.99</v>
      </c>
      <c r="M9" s="5">
        <f>INDEX(FR!$Q$8:$Q$17,MATCH($A9,FR!$A$8:$A$17,0))</f>
        <v>8899.8068336000015</v>
      </c>
      <c r="N9" s="5">
        <f>INDEX(FR!$D$8:$D$17,MATCH($A9,FR!$A$8:$A$17,0))</f>
        <v>300.887</v>
      </c>
      <c r="O9" s="5">
        <f>INDEX(FR!$K$8:$K$17,MATCH($A9,FR!$A$8:$A$17,0))</f>
        <v>7289.786833600001</v>
      </c>
      <c r="P9" s="24">
        <f>INDEX('Prime Rate'!$B$2:$B$11,MATCH($A9,'Prime Rate'!$A$2:$A$11,0))/100</f>
        <v>3.2500000000000001E-2</v>
      </c>
      <c r="Q9" s="5">
        <f t="shared" si="2"/>
        <v>8554.8168336000017</v>
      </c>
      <c r="R9" s="5">
        <f t="shared" si="3"/>
        <v>6988.8998336000013</v>
      </c>
      <c r="S9" s="31">
        <f>INDEX(Inflation!$G$4:$G$19,MATCH($A9,Inflation!$A$4:$A$19,0))</f>
        <v>4.6809809314831474E-2</v>
      </c>
      <c r="T9" s="24">
        <f>INDEX('Green Street National'!$D$4:$D$18,MATCH($A9,'Green Street National'!$A$4:$A$18,0))</f>
        <v>3.7766719999999997E-2</v>
      </c>
      <c r="U9" s="37">
        <f>INDEX('Green Street National'!$F$4:$F$18,MATCH($A9,'Green Street National'!$A$4:$A$18,0))</f>
        <v>208.42060661993727</v>
      </c>
      <c r="V9" s="37">
        <f>INDEX(Inflation!$D$4:$D$19,MATCH($A9,Inflation!$A$4:$A$19,0))</f>
        <v>120.67175818856559</v>
      </c>
      <c r="W9" s="37">
        <f>INDEX(Inflation!$E$4:$E$19,MATCH($A9,Inflation!$A$4:$A$19,0))</f>
        <v>112.90306451948919</v>
      </c>
      <c r="X9" s="37">
        <f>INDEX('Costar - US Industrial'!$H$2:$H$28,MATCH(TEXT($A9,"0"),'Costar - US Industrial'!$A$2:$A$28,0))/'Costar - US Industrial'!$H$18*100</f>
        <v>135.36457297881367</v>
      </c>
      <c r="Y9" s="31">
        <f>INDEX('Green Street National'!$C$4:$C$18,MATCH($A9,'Green Street National'!$A$4:$A$18,0))</f>
        <v>0.18159117</v>
      </c>
      <c r="Z9" s="31">
        <f>INDEX('Costar - US Industrial'!$F$2:$F$28,MATCH(TEXT($A9-1,"0"),'Costar - US Industrial'!$A$2:$A$28,0))-INDEX('Costar - US Industrial'!$F$2:$F$28,MATCH(TEXT($A9,"0"),'Costar - US Industrial'!$A$2:$A$28,0))</f>
        <v>1.3157325304761699E-2</v>
      </c>
      <c r="AA9" s="38">
        <f>INDEX('Costar - US Industrial'!$H$2:$H$28,MATCH(TEXT($A9,"0"),'Costar - US Industrial'!$A$2:$A$28,0))</f>
        <v>9.7576253176282304</v>
      </c>
      <c r="AB9" s="31">
        <f>1-INDEX('Costar - US Industrial'!$F$2:$F$28,MATCH(TEXT($A9,"0"),'Costar - US Industrial'!$A$2:$A$28,0))</f>
        <v>0.95862050110610841</v>
      </c>
      <c r="AC9">
        <f t="shared" si="4"/>
        <v>143.34256968766996</v>
      </c>
      <c r="AE9" s="39" t="str">
        <f t="shared" si="5"/>
        <v>+5%</v>
      </c>
      <c r="AF9" s="39" t="str">
        <f t="shared" si="6"/>
        <v>+8%</v>
      </c>
    </row>
    <row r="10" spans="1:32" ht="15" customHeight="1" x14ac:dyDescent="0.25">
      <c r="A10">
        <v>2022</v>
      </c>
      <c r="B10" s="35">
        <f>INDEX(FR!$Z$8:$Z$17,MATCH($A10,FR!$A$8:$A$17,0))</f>
        <v>5.9089299274352129E-2</v>
      </c>
      <c r="C10" s="35">
        <f>INDEX(FR!$Y$8:$Y$17,MATCH($A10,FR!$A$8:$A$17,0))</f>
        <v>3.8800000000000001E-2</v>
      </c>
      <c r="D10" s="36">
        <f t="shared" si="0"/>
        <v>2.0289299274352128E-2</v>
      </c>
      <c r="E10" s="35">
        <f>INDEX(FR!$AA$8:$AA$17,MATCH($A10,FR!$A$8:$A$17,0))</f>
        <v>7.4892667089377335E-2</v>
      </c>
      <c r="F10" s="36">
        <f t="shared" si="1"/>
        <v>1.5803367815025206E-2</v>
      </c>
      <c r="G10" s="35">
        <f>INDEX('Costar - US Industrial'!$F$2:$F$28,MATCH(TEXT($A10,"0"),'Costar - US Industrial'!$A$2:$A$28,0))</f>
        <v>3.9003142385786102E-2</v>
      </c>
      <c r="H10" s="35">
        <f>INDEX('Costar - US Industrial'!$I$2:$I$28,MATCH(TEXT($A10,"0"),'Costar - US Industrial'!$A$2:$A$28,0))</f>
        <v>0.100277448941721</v>
      </c>
      <c r="I10" s="35">
        <f>INDEX('Costar - US Industrial'!$C$2:$C$28,MATCH(TEXT($A10,"0"),'Costar - US Industrial'!$A$2:$A$28,0))/INDEX('Costar - US Industrial'!$B$2:$B$28,MATCH(TEXT($A10,"0"),'Costar - US Industrial'!$A$2:$A$28,0))</f>
        <v>2.1881852269300183E-2</v>
      </c>
      <c r="J10" s="25">
        <f>INDEX(FR!$AB$8:$AB$17,MATCH($A10,FR!$A$8:$A$17,0))</f>
        <v>16.923537971858345</v>
      </c>
      <c r="K10" s="25">
        <f>INDEX(FR!$AC$8:$AC$17,MATCH($A10,FR!$A$8:$A$17,0))</f>
        <v>13.352442086307251</v>
      </c>
      <c r="L10" s="5">
        <f>INDEX(FR!$B$8:$B$17,MATCH($A10,FR!$A$8:$A$17,0))</f>
        <v>395.35700000000003</v>
      </c>
      <c r="M10" s="5">
        <f>INDEX(FR!$Q$8:$Q$17,MATCH($A10,FR!$A$8:$A$17,0))</f>
        <v>6690.8392019399998</v>
      </c>
      <c r="N10" s="5">
        <f>INDEX(FR!$D$8:$D$17,MATCH($A10,FR!$A$8:$A$17,0))</f>
        <v>346.34400000000005</v>
      </c>
      <c r="O10" s="5">
        <f>INDEX(FR!$K$8:$K$17,MATCH($A10,FR!$A$8:$A$17,0))</f>
        <v>4624.5382019399995</v>
      </c>
      <c r="P10" s="24">
        <f>INDEX('Prime Rate'!$B$2:$B$11,MATCH($A10,'Prime Rate'!$A$2:$A$11,0))/100</f>
        <v>4.8499999999999995E-2</v>
      </c>
      <c r="Q10" s="5">
        <f t="shared" si="2"/>
        <v>6295.4822019399999</v>
      </c>
      <c r="R10" s="5">
        <f t="shared" si="3"/>
        <v>4278.1942019399994</v>
      </c>
      <c r="S10" s="31">
        <f>INDEX(Inflation!$G$4:$G$19,MATCH($A10,Inflation!$A$4:$A$19,0))</f>
        <v>7.9908330350256129E-2</v>
      </c>
      <c r="T10" s="24">
        <f>INDEX('Green Street National'!$D$4:$D$18,MATCH($A10,'Green Street National'!$A$4:$A$18,0))</f>
        <v>4.6492600000000002E-2</v>
      </c>
      <c r="U10" s="37">
        <f>INDEX('Green Street National'!$F$4:$F$18,MATCH($A10,'Green Street National'!$A$4:$A$18,0))</f>
        <v>173.4329975271215</v>
      </c>
      <c r="V10" s="37">
        <f>INDEX(Inflation!$D$4:$D$19,MATCH($A10,Inflation!$A$4:$A$19,0))</f>
        <v>144.71306405636528</v>
      </c>
      <c r="W10" s="37">
        <f>INDEX(Inflation!$E$4:$E$19,MATCH($A10,Inflation!$A$4:$A$19,0))</f>
        <v>121.92495989666881</v>
      </c>
      <c r="X10" s="37">
        <f>INDEX('Costar - US Industrial'!$H$2:$H$28,MATCH(TEXT($A10,"0"),'Costar - US Industrial'!$A$2:$A$28,0))/'Costar - US Industrial'!$H$18*100</f>
        <v>148.93858703421395</v>
      </c>
      <c r="Y10" s="31">
        <f>INDEX('Green Street National'!$C$4:$C$18,MATCH($A10,'Green Street National'!$A$4:$A$18,0))</f>
        <v>0.25601942999999999</v>
      </c>
      <c r="Z10" s="31">
        <f>INDEX('Costar - US Industrial'!$F$2:$F$28,MATCH(TEXT($A10-1,"0"),'Costar - US Industrial'!$A$2:$A$28,0))-INDEX('Costar - US Industrial'!$F$2:$F$28,MATCH(TEXT($A10,"0"),'Costar - US Industrial'!$A$2:$A$28,0))</f>
        <v>2.3763565081054983E-3</v>
      </c>
      <c r="AA10" s="38">
        <f>INDEX('Costar - US Industrial'!$H$2:$H$28,MATCH(TEXT($A10,"0"),'Costar - US Industrial'!$A$2:$A$28,0))</f>
        <v>10.7360950922091</v>
      </c>
      <c r="AB10" s="31">
        <f>1-INDEX('Costar - US Industrial'!$F$2:$F$28,MATCH(TEXT($A10,"0"),'Costar - US Industrial'!$A$2:$A$28,0))</f>
        <v>0.96099685761421394</v>
      </c>
      <c r="AC10">
        <f t="shared" si="4"/>
        <v>180.0410526738425</v>
      </c>
      <c r="AE10" s="39" t="str">
        <f t="shared" si="5"/>
        <v>+15%</v>
      </c>
      <c r="AF10" s="39" t="str">
        <f t="shared" si="6"/>
        <v>+15%</v>
      </c>
    </row>
    <row r="11" spans="1:32" ht="15" customHeight="1" x14ac:dyDescent="0.25">
      <c r="A11">
        <v>2023</v>
      </c>
      <c r="B11" s="35">
        <f>INDEX(FR!$Z$8:$Z$17,MATCH($A11,FR!$A$8:$A$17,0))</f>
        <v>6.0360090913832008E-2</v>
      </c>
      <c r="C11" s="35">
        <f>INDEX(FR!$Y$8:$Y$17,MATCH($A11,FR!$A$8:$A$17,0))</f>
        <v>3.8800000000000001E-2</v>
      </c>
      <c r="D11" s="36">
        <f t="shared" si="0"/>
        <v>2.1560090913832007E-2</v>
      </c>
      <c r="E11" s="35">
        <f>INDEX(FR!$AA$8:$AA$17,MATCH($A11,FR!$A$8:$A$17,0))</f>
        <v>7.2011173194105993E-2</v>
      </c>
      <c r="F11" s="36">
        <f t="shared" si="1"/>
        <v>1.1651082280273985E-2</v>
      </c>
      <c r="G11" s="35">
        <f>INDEX('Costar - US Industrial'!$F$2:$F$28,MATCH(TEXT($A11,"0"),'Costar - US Industrial'!$A$2:$A$28,0))</f>
        <v>5.6521739316558198E-2</v>
      </c>
      <c r="H11" s="35">
        <f>INDEX('Costar - US Industrial'!$I$2:$I$28,MATCH(TEXT($A11,"0"),'Costar - US Industrial'!$A$2:$A$28,0))</f>
        <v>7.1323482103282002E-2</v>
      </c>
      <c r="I11" s="35">
        <f>INDEX('Costar - US Industrial'!$C$2:$C$28,MATCH(TEXT($A11,"0"),'Costar - US Industrial'!$A$2:$A$28,0))/INDEX('Costar - US Industrial'!$B$2:$B$28,MATCH(TEXT($A11,"0"),'Costar - US Industrial'!$A$2:$A$28,0))</f>
        <v>2.7711761957566982E-2</v>
      </c>
      <c r="J11" s="25">
        <f>INDEX(FR!$AB$8:$AB$17,MATCH($A11,FR!$A$8:$A$17,0))</f>
        <v>16.567238134673548</v>
      </c>
      <c r="K11" s="25">
        <f>INDEX(FR!$AC$8:$AC$17,MATCH($A11,FR!$A$8:$A$17,0))</f>
        <v>13.886733900369901</v>
      </c>
      <c r="L11" s="5">
        <f>INDEX(FR!$B$8:$B$17,MATCH($A11,FR!$A$8:$A$17,0))</f>
        <v>444.70499999999998</v>
      </c>
      <c r="M11" s="5">
        <f>INDEX(FR!$Q$8:$Q$17,MATCH($A11,FR!$A$8:$A$17,0))</f>
        <v>7367.5336346800004</v>
      </c>
      <c r="N11" s="5">
        <f>INDEX(FR!$D$8:$D$17,MATCH($A11,FR!$A$8:$A$17,0))</f>
        <v>370.37</v>
      </c>
      <c r="O11" s="5">
        <f>INDEX(FR!$K$8:$K$17,MATCH($A11,FR!$A$8:$A$17,0))</f>
        <v>5143.2296346800003</v>
      </c>
      <c r="P11" s="24">
        <f>INDEX('Prime Rate'!$B$2:$B$11,MATCH($A11,'Prime Rate'!$A$2:$A$11,0))/100</f>
        <v>8.1900000000000001E-2</v>
      </c>
      <c r="Q11" s="5">
        <f t="shared" si="2"/>
        <v>6922.8286346800005</v>
      </c>
      <c r="R11" s="5">
        <f t="shared" si="3"/>
        <v>4772.8596346800005</v>
      </c>
      <c r="S11" s="31">
        <f>INDEX(Inflation!$G$4:$G$19,MATCH($A11,Inflation!$A$4:$A$19,0))</f>
        <v>4.1271110564338187E-2</v>
      </c>
      <c r="T11" s="24">
        <f>INDEX('Green Street National'!$D$4:$D$18,MATCH($A11,'Green Street National'!$A$4:$A$18,0))</f>
        <v>5.1572890000000003E-2</v>
      </c>
      <c r="U11" s="37">
        <f>INDEX('Green Street National'!$F$4:$F$18,MATCH($A11,'Green Street National'!$A$4:$A$18,0))</f>
        <v>175.91029434755708</v>
      </c>
      <c r="V11" s="37">
        <f>INDEX(Inflation!$D$4:$D$19,MATCH($A11,Inflation!$A$4:$A$19,0))</f>
        <v>156.11789383101166</v>
      </c>
      <c r="W11" s="37">
        <f>INDEX(Inflation!$E$4:$E$19,MATCH($A11,Inflation!$A$4:$A$19,0))</f>
        <v>126.95693839711673</v>
      </c>
      <c r="X11" s="37">
        <f>INDEX('Costar - US Industrial'!$H$2:$H$28,MATCH(TEXT($A11,"0"),'Costar - US Industrial'!$A$2:$A$28,0))/'Costar - US Industrial'!$H$18*100</f>
        <v>159.56140568103808</v>
      </c>
      <c r="Y11" s="31">
        <f>INDEX('Green Street National'!$C$4:$C$18,MATCH($A11,'Green Street National'!$A$4:$A$18,0))</f>
        <v>4.6033749999999998E-2</v>
      </c>
      <c r="Z11" s="31">
        <f>INDEX('Costar - US Industrial'!$F$2:$F$28,MATCH(TEXT($A11-1,"0"),'Costar - US Industrial'!$A$2:$A$28,0))-INDEX('Costar - US Industrial'!$F$2:$F$28,MATCH(TEXT($A11,"0"),'Costar - US Industrial'!$A$2:$A$28,0))</f>
        <v>-1.7518596930772096E-2</v>
      </c>
      <c r="AA11" s="38">
        <f>INDEX('Costar - US Industrial'!$H$2:$H$28,MATCH(TEXT($A11,"0"),'Costar - US Industrial'!$A$2:$A$28,0))</f>
        <v>11.501830778377499</v>
      </c>
      <c r="AB11" s="31">
        <f>1-INDEX('Costar - US Industrial'!$F$2:$F$28,MATCH(TEXT($A11,"0"),'Costar - US Industrial'!$A$2:$A$28,0))</f>
        <v>0.94347826068344176</v>
      </c>
      <c r="AC11">
        <f t="shared" si="4"/>
        <v>188.32901748236702</v>
      </c>
      <c r="AE11" s="39" t="str">
        <f t="shared" si="5"/>
        <v>+12%</v>
      </c>
      <c r="AF11" s="39" t="str">
        <f t="shared" si="6"/>
        <v>+7%</v>
      </c>
    </row>
    <row r="12" spans="1:32" ht="15" customHeight="1" x14ac:dyDescent="0.25">
      <c r="A12">
        <v>2024</v>
      </c>
      <c r="B12" s="35">
        <f>INDEX(FR!$Z$8:$Z$17,MATCH($A12,FR!$A$8:$A$17,0))</f>
        <v>6.8569372306147305E-2</v>
      </c>
      <c r="C12" s="35">
        <f>INDEX(FR!$Y$8:$Y$17,MATCH($A12,FR!$A$8:$A$17,0))</f>
        <v>4.58E-2</v>
      </c>
      <c r="D12" s="36">
        <f t="shared" si="0"/>
        <v>2.2769372306147305E-2</v>
      </c>
      <c r="E12" s="35">
        <f>INDEX(FR!$AA$8:$AA$17,MATCH($A12,FR!$A$8:$A$17,0))</f>
        <v>8.2644257200719953E-2</v>
      </c>
      <c r="F12" s="36">
        <f t="shared" si="1"/>
        <v>1.4074884894572648E-2</v>
      </c>
      <c r="G12" s="35">
        <f>INDEX('Costar - US Industrial'!$F$2:$F$28,MATCH(TEXT($A12,"0"),'Costar - US Industrial'!$A$2:$A$28,0))</f>
        <v>6.8090352693426295E-2</v>
      </c>
      <c r="H12" s="35">
        <f>INDEX('Costar - US Industrial'!$I$2:$I$28,MATCH(TEXT($A12,"0"),'Costar - US Industrial'!$A$2:$A$28,0))</f>
        <v>3.5643374899532898E-2</v>
      </c>
      <c r="I12" s="35">
        <f>INDEX('Costar - US Industrial'!$C$2:$C$28,MATCH(TEXT($A12,"0"),'Costar - US Industrial'!$A$2:$A$28,0))/INDEX('Costar - US Industrial'!$B$2:$B$28,MATCH(TEXT($A12,"0"),'Costar - US Industrial'!$A$2:$A$28,0))</f>
        <v>1.9413685589803824E-2</v>
      </c>
      <c r="J12" s="25">
        <f>INDEX(FR!$AB$8:$AB$17,MATCH($A12,FR!$A$8:$A$17,0))</f>
        <v>14.5837706598103</v>
      </c>
      <c r="K12" s="25">
        <f>INDEX(FR!$AC$8:$AC$17,MATCH($A12,FR!$A$8:$A$17,0))</f>
        <v>12.100054303486298</v>
      </c>
      <c r="L12" s="5">
        <f>INDEX(FR!$B$8:$B$17,MATCH($A12,FR!$A$8:$A$17,0))</f>
        <v>485.291</v>
      </c>
      <c r="M12" s="5">
        <f>INDEX(FR!$Q$8:$Q$17,MATCH($A12,FR!$A$8:$A$17,0))</f>
        <v>7077.37264727</v>
      </c>
      <c r="N12" s="5">
        <f>INDEX(FR!$D$8:$D$17,MATCH($A12,FR!$A$8:$A$17,0))</f>
        <v>402.31799999999998</v>
      </c>
      <c r="O12" s="5">
        <f>INDEX(FR!$K$8:$K$17,MATCH($A12,FR!$A$8:$A$17,0))</f>
        <v>4868.0696472700001</v>
      </c>
      <c r="P12" s="24">
        <f>INDEX('Prime Rate'!$B$2:$B$11,MATCH($A12,'Prime Rate'!$A$2:$A$11,0))/100</f>
        <v>8.3100000000000007E-2</v>
      </c>
      <c r="Q12" s="5">
        <f t="shared" si="2"/>
        <v>6592.0816472699998</v>
      </c>
      <c r="R12" s="5">
        <f t="shared" si="3"/>
        <v>4465.7516472699999</v>
      </c>
      <c r="S12" s="31">
        <f>INDEX(Inflation!$G$4:$G$19,MATCH($A12,Inflation!$A$4:$A$19,0))</f>
        <v>2.9520549518711636E-2</v>
      </c>
      <c r="T12" s="24">
        <f>INDEX('Green Street National'!$D$4:$D$18,MATCH($A12,'Green Street National'!$A$4:$A$18,0))</f>
        <v>5.2849069999999998E-2</v>
      </c>
      <c r="U12" s="37">
        <f>INDEX('Green Street National'!$F$4:$F$18,MATCH($A12,'Green Street National'!$A$4:$A$18,0))</f>
        <v>176.10718373483448</v>
      </c>
      <c r="V12" s="37">
        <f>INDEX(Inflation!$D$4:$D$19,MATCH($A12,Inflation!$A$4:$A$19,0))</f>
        <v>156.28103766650528</v>
      </c>
      <c r="W12" s="37">
        <f>INDEX(Inflation!$E$4:$E$19,MATCH($A12,Inflation!$A$4:$A$19,0))</f>
        <v>130.70477698381282</v>
      </c>
      <c r="X12" s="37">
        <f>INDEX('Costar - US Industrial'!$H$2:$H$28,MATCH(TEXT($A12,"0"),'Costar - US Industrial'!$A$2:$A$28,0))/'Costar - US Industrial'!$H$18*100</f>
        <v>165.24871268322249</v>
      </c>
      <c r="Y12" s="31">
        <f>INDEX('Green Street National'!$C$4:$C$18,MATCH($A12,'Green Street National'!$A$4:$A$18,0))</f>
        <v>-4.4370260000000002E-2</v>
      </c>
      <c r="Z12" s="31">
        <f>INDEX('Costar - US Industrial'!$F$2:$F$28,MATCH(TEXT($A12-1,"0"),'Costar - US Industrial'!$A$2:$A$28,0))-INDEX('Costar - US Industrial'!$F$2:$F$28,MATCH(TEXT($A12,"0"),'Costar - US Industrial'!$A$2:$A$28,0))</f>
        <v>-1.1568613376868098E-2</v>
      </c>
      <c r="AA12" s="38">
        <f>INDEX('Costar - US Industrial'!$H$2:$H$28,MATCH(TEXT($A12,"0"),'Costar - US Industrial'!$A$2:$A$28,0))</f>
        <v>11.911794844842101</v>
      </c>
      <c r="AB12" s="31">
        <f>1-INDEX('Costar - US Industrial'!$F$2:$F$28,MATCH(TEXT($A12,"0"),'Costar - US Industrial'!$A$2:$A$28,0))</f>
        <v>0.93190964730657366</v>
      </c>
      <c r="AC12">
        <f t="shared" si="4"/>
        <v>179.97281001112987</v>
      </c>
      <c r="AE12" s="39" t="str">
        <f t="shared" si="5"/>
        <v>+9%</v>
      </c>
      <c r="AF12" s="39" t="str">
        <f t="shared" si="6"/>
        <v>+9%</v>
      </c>
    </row>
    <row r="13" spans="1:32" ht="15" customHeight="1" x14ac:dyDescent="0.25">
      <c r="A13">
        <v>2025</v>
      </c>
      <c r="B13" s="35">
        <f>INDEX(FR!$Z$8:$Z$17,MATCH($A13,FR!$A$8:$A$17,0))</f>
        <v>6.4627540146660264E-2</v>
      </c>
      <c r="C13" s="35">
        <f>INDEX(FR!$Y$8:$Y$17,MATCH($A13,FR!$A$8:$A$17,0))</f>
        <v>4.1799999999999997E-2</v>
      </c>
      <c r="D13" s="36">
        <f t="shared" si="0"/>
        <v>2.2827540146660268E-2</v>
      </c>
      <c r="E13" s="35">
        <f>INDEX(FR!$AA$8:$AA$17,MATCH($A13,FR!$A$8:$A$17,0))</f>
        <v>7.862641001391367E-2</v>
      </c>
      <c r="F13" s="36">
        <f t="shared" si="1"/>
        <v>1.3998869867253405E-2</v>
      </c>
      <c r="G13" s="35">
        <f>INDEX('Costar - US Industrial'!$F$2:$F$28,MATCH(TEXT($A13,"0"),'Costar - US Industrial'!$A$2:$A$28,0))</f>
        <v>7.4612511764970205E-2</v>
      </c>
      <c r="H13" s="35">
        <f>INDEX('Costar - US Industrial'!$I$2:$I$28,MATCH(TEXT($A13,"0"),'Costar - US Industrial'!$A$2:$A$28,0))</f>
        <v>1.9678942555793499E-2</v>
      </c>
      <c r="I13" s="35">
        <f>INDEX('Costar - US Industrial'!$C$2:$C$28,MATCH(TEXT($A13,"0"),'Costar - US Industrial'!$A$2:$A$28,0))/INDEX('Costar - US Industrial'!$B$2:$B$28,MATCH(TEXT($A13,"0"),'Costar - US Industrial'!$A$2:$A$28,0))</f>
        <v>1.328722929203972E-2</v>
      </c>
      <c r="J13" s="25">
        <f>INDEX(FR!$AB$8:$AB$17,MATCH($A13,FR!$A$8:$A$17,0))</f>
        <v>15.473279622444002</v>
      </c>
      <c r="K13" s="25">
        <f>INDEX(FR!$AC$8:$AC$17,MATCH($A13,FR!$A$8:$A$17,0))</f>
        <v>12.718372870172258</v>
      </c>
      <c r="L13" s="5">
        <f>INDEX(FR!$B$8:$B$17,MATCH($A13,FR!$A$8:$A$17,0))</f>
        <v>534.96699999999998</v>
      </c>
      <c r="M13" s="5">
        <f>INDEX(FR!$Q$8:$Q$17,MATCH($A13,FR!$A$8:$A$17,0))</f>
        <v>8277.6939797800005</v>
      </c>
      <c r="N13" s="5">
        <f>INDEX(FR!$D$8:$D$17,MATCH($A13,FR!$A$8:$A$17,0))</f>
        <v>450.08100000000002</v>
      </c>
      <c r="O13" s="5">
        <f>INDEX(FR!$K$8:$K$17,MATCH($A13,FR!$A$8:$A$17,0))</f>
        <v>5724.2979797800008</v>
      </c>
      <c r="P13" s="24">
        <f>INDEX('Prime Rate'!$B$2:$B$11,MATCH($A13,'Prime Rate'!$A$2:$A$11,0))/100</f>
        <v>7.3700000000000002E-2</v>
      </c>
      <c r="Q13" s="5">
        <f t="shared" si="2"/>
        <v>7742.7269797800009</v>
      </c>
      <c r="R13" s="5">
        <f t="shared" si="3"/>
        <v>5274.2169797800007</v>
      </c>
      <c r="S13" s="31">
        <f>INDEX(Inflation!$G$4:$G$19,MATCH($A13,Inflation!$A$4:$A$19,0))</f>
        <v>2.6343808376209088E-2</v>
      </c>
      <c r="T13" s="24">
        <f>INDEX('Green Street National'!$D$4:$D$18,MATCH($A13,'Green Street National'!$A$4:$A$18,0))</f>
        <v>5.4278229999999997E-2</v>
      </c>
      <c r="U13" s="37">
        <f>INDEX('Green Street National'!$F$4:$F$18,MATCH($A13,'Green Street National'!$A$4:$A$18,0))</f>
        <v>181.30796990700887</v>
      </c>
      <c r="V13" s="37">
        <f>INDEX(Inflation!$D$4:$D$19,MATCH($A13,Inflation!$A$4:$A$19,0))</f>
        <v>158.82142024776348</v>
      </c>
      <c r="W13" s="37">
        <f>INDEX(Inflation!$E$4:$E$19,MATCH($A13,Inflation!$A$4:$A$19,0))</f>
        <v>134.14803858252952</v>
      </c>
      <c r="X13" s="37">
        <f>INDEX('Costar - US Industrial'!$H$2:$H$28,MATCH(TEXT($A13,"0"),'Costar - US Industrial'!$A$2:$A$28,0))/'Costar - US Industrial'!$H$18*100</f>
        <v>168.50063260753521</v>
      </c>
      <c r="Y13" s="31">
        <f>INDEX('Green Street National'!$C$4:$C$18,MATCH($A13,'Green Street National'!$A$4:$A$18,0))</f>
        <v>-3.6628189999999998E-2</v>
      </c>
      <c r="Z13" s="31">
        <f>INDEX('Costar - US Industrial'!$F$2:$F$28,MATCH(TEXT($A13-1,"0"),'Costar - US Industrial'!$A$2:$A$28,0))-INDEX('Costar - US Industrial'!$F$2:$F$28,MATCH(TEXT($A13,"0"),'Costar - US Industrial'!$A$2:$A$28,0))</f>
        <v>-6.5221590715439093E-3</v>
      </c>
      <c r="AA13" s="38">
        <f>INDEX('Costar - US Industrial'!$H$2:$H$28,MATCH(TEXT($A13,"0"),'Costar - US Industrial'!$A$2:$A$28,0))</f>
        <v>12.1462063713302</v>
      </c>
      <c r="AB13" s="31">
        <f>1-INDEX('Costar - US Industrial'!$F$2:$F$28,MATCH(TEXT($A13,"0"),'Costar - US Industrial'!$A$2:$A$28,0))</f>
        <v>0.92538748823502981</v>
      </c>
      <c r="AC13">
        <f t="shared" si="4"/>
        <v>173.3807317312083</v>
      </c>
      <c r="AE13" s="39" t="str">
        <f t="shared" si="5"/>
        <v>+10%</v>
      </c>
      <c r="AF13" s="39" t="str">
        <f t="shared" si="6"/>
        <v>+12%</v>
      </c>
    </row>
    <row r="14" spans="1:32" x14ac:dyDescent="0.25">
      <c r="G14" s="40"/>
    </row>
    <row r="15" spans="1:32" ht="15" customHeight="1" x14ac:dyDescent="0.25">
      <c r="A15" t="s">
        <v>572</v>
      </c>
    </row>
    <row r="16" spans="1:32" ht="15" customHeight="1" x14ac:dyDescent="0.25">
      <c r="A16" t="s">
        <v>594</v>
      </c>
      <c r="X16" s="41"/>
    </row>
    <row r="17" spans="1:24" ht="15" customHeight="1" x14ac:dyDescent="0.25">
      <c r="A17" t="s">
        <v>574</v>
      </c>
      <c r="X17" s="41"/>
    </row>
    <row r="18" spans="1:24" ht="15" customHeight="1" x14ac:dyDescent="0.25">
      <c r="A18" t="s">
        <v>575</v>
      </c>
      <c r="X18" s="41"/>
    </row>
    <row r="19" spans="1:24" ht="15" customHeight="1" x14ac:dyDescent="0.25">
      <c r="A19" t="s">
        <v>595</v>
      </c>
      <c r="X19" s="41"/>
    </row>
    <row r="20" spans="1:24" ht="15" customHeight="1" x14ac:dyDescent="0.25">
      <c r="A20" t="s">
        <v>577</v>
      </c>
      <c r="X20" s="41"/>
    </row>
    <row r="21" spans="1:24" ht="15" customHeight="1" x14ac:dyDescent="0.25">
      <c r="A21" t="s">
        <v>578</v>
      </c>
      <c r="X21" s="41"/>
    </row>
    <row r="22" spans="1:24" ht="15" customHeight="1" x14ac:dyDescent="0.25">
      <c r="A22" t="s">
        <v>579</v>
      </c>
      <c r="X22" s="41"/>
    </row>
    <row r="23" spans="1:24" ht="15" customHeight="1" x14ac:dyDescent="0.25">
      <c r="A23" t="s">
        <v>580</v>
      </c>
      <c r="X23" s="41"/>
    </row>
    <row r="24" spans="1:24" ht="15" customHeight="1" x14ac:dyDescent="0.25">
      <c r="A24" t="s">
        <v>581</v>
      </c>
      <c r="X24" s="41"/>
    </row>
    <row r="25" spans="1:24" ht="15" customHeight="1" x14ac:dyDescent="0.25">
      <c r="A25" t="s">
        <v>582</v>
      </c>
    </row>
    <row r="26" spans="1:24" ht="15" customHeight="1" x14ac:dyDescent="0.25">
      <c r="A26" t="s">
        <v>596</v>
      </c>
    </row>
    <row r="27" spans="1:24" ht="15" customHeight="1" x14ac:dyDescent="0.25">
      <c r="A27" t="s">
        <v>584</v>
      </c>
    </row>
    <row r="28" spans="1:24" ht="15" customHeight="1" x14ac:dyDescent="0.25">
      <c r="A28" t="s">
        <v>585</v>
      </c>
    </row>
    <row r="29" spans="1:24" ht="15" customHeight="1" x14ac:dyDescent="0.25">
      <c r="A29" t="s">
        <v>586</v>
      </c>
    </row>
    <row r="30" spans="1:24" ht="15" customHeight="1" x14ac:dyDescent="0.25">
      <c r="A30" t="s">
        <v>587</v>
      </c>
    </row>
    <row r="31" spans="1:24" ht="15" customHeight="1" x14ac:dyDescent="0.25">
      <c r="A31" t="s">
        <v>588</v>
      </c>
    </row>
    <row r="32" spans="1:24" ht="15" customHeight="1" x14ac:dyDescent="0.25">
      <c r="A32" t="s">
        <v>589</v>
      </c>
    </row>
  </sheetData>
  <pageMargins left="0.75" right="0.75" top="1" bottom="1" header="0.511811023622047" footer="0.511811023622047"/>
  <pageSetup paperSize="9" orientation="portrait" horizontalDpi="300" verticalDpi="300"/>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32"/>
  <sheetViews>
    <sheetView zoomScaleNormal="100" workbookViewId="0"/>
  </sheetViews>
  <sheetFormatPr defaultColWidth="8.7109375" defaultRowHeight="15" x14ac:dyDescent="0.25"/>
  <cols>
    <col min="1" max="29" width="15" customWidth="1"/>
    <col min="31" max="32" width="15" customWidth="1"/>
  </cols>
  <sheetData>
    <row r="1" spans="1:32" ht="15" customHeight="1" x14ac:dyDescent="0.25">
      <c r="A1" s="32" t="s">
        <v>597</v>
      </c>
    </row>
    <row r="2" spans="1:32" ht="15" customHeight="1" x14ac:dyDescent="0.25">
      <c r="A2" s="33" t="s">
        <v>598</v>
      </c>
    </row>
    <row r="3" spans="1:32" ht="63" customHeight="1" x14ac:dyDescent="0.25">
      <c r="A3" s="6" t="s">
        <v>468</v>
      </c>
      <c r="B3" s="6" t="s">
        <v>599</v>
      </c>
      <c r="C3" s="6" t="s">
        <v>492</v>
      </c>
      <c r="D3" s="6" t="s">
        <v>550</v>
      </c>
      <c r="E3" s="6" t="s">
        <v>600</v>
      </c>
      <c r="F3" s="6" t="s">
        <v>552</v>
      </c>
      <c r="G3" s="6" t="s">
        <v>553</v>
      </c>
      <c r="H3" s="6" t="s">
        <v>554</v>
      </c>
      <c r="I3" s="6" t="s">
        <v>555</v>
      </c>
      <c r="J3" s="6" t="s">
        <v>495</v>
      </c>
      <c r="K3" s="6" t="s">
        <v>496</v>
      </c>
      <c r="L3" s="6" t="s">
        <v>469</v>
      </c>
      <c r="M3" s="6" t="s">
        <v>484</v>
      </c>
      <c r="N3" s="6" t="s">
        <v>471</v>
      </c>
      <c r="O3" s="6" t="s">
        <v>478</v>
      </c>
      <c r="P3" s="6" t="s">
        <v>556</v>
      </c>
      <c r="Q3" s="6" t="s">
        <v>557</v>
      </c>
      <c r="R3" s="6" t="s">
        <v>558</v>
      </c>
      <c r="S3" s="6" t="s">
        <v>559</v>
      </c>
      <c r="T3" s="6" t="s">
        <v>560</v>
      </c>
      <c r="U3" s="6" t="s">
        <v>561</v>
      </c>
      <c r="V3" s="6" t="s">
        <v>562</v>
      </c>
      <c r="W3" s="6" t="s">
        <v>563</v>
      </c>
      <c r="X3" s="6" t="s">
        <v>564</v>
      </c>
      <c r="Y3" s="6" t="s">
        <v>565</v>
      </c>
      <c r="Z3" s="6" t="s">
        <v>566</v>
      </c>
      <c r="AA3" s="6" t="s">
        <v>567</v>
      </c>
      <c r="AB3" s="6" t="s">
        <v>568</v>
      </c>
      <c r="AC3" s="6" t="s">
        <v>569</v>
      </c>
      <c r="AE3" s="34" t="s">
        <v>570</v>
      </c>
      <c r="AF3" s="34" t="s">
        <v>571</v>
      </c>
    </row>
    <row r="4" spans="1:32" ht="15" customHeight="1" x14ac:dyDescent="0.25">
      <c r="A4">
        <v>2016</v>
      </c>
      <c r="B4" s="35">
        <f>INDEX(STAG!$Z$8:$Z$17,MATCH($A4,STAG!$A$8:$A$17,0))</f>
        <v>6.9249061919118629E-2</v>
      </c>
      <c r="C4" s="35">
        <f>INDEX(STAG!$Y$8:$Y$17,MATCH($A4,STAG!$A$8:$A$17,0))</f>
        <v>2.4500000000000001E-2</v>
      </c>
      <c r="D4" s="36">
        <f t="shared" ref="D4:D13" si="0">B4-C4</f>
        <v>4.4749061919118628E-2</v>
      </c>
      <c r="E4" s="35">
        <f>INDEX(STAG!$AA$8:$AA$17,MATCH($A4,STAG!$A$8:$A$17,0))</f>
        <v>9.1804616947060921E-2</v>
      </c>
      <c r="F4" s="36">
        <f t="shared" ref="F4:F13" si="1">E4-B4</f>
        <v>2.2555555027942292E-2</v>
      </c>
      <c r="G4" s="35">
        <f>INDEX('Costar - US Industrial'!$F$2:$F$28,MATCH(TEXT($A4,"0"),'Costar - US Industrial'!$A$2:$A$28,0))</f>
        <v>5.2253933059267697E-2</v>
      </c>
      <c r="H4" s="35">
        <f>INDEX('Costar - US Industrial'!$I$2:$I$28,MATCH(TEXT($A4,"0"),'Costar - US Industrial'!$A$2:$A$28,0))</f>
        <v>5.4470517273195899E-2</v>
      </c>
      <c r="I4" s="35">
        <f>INDEX('Costar - US Industrial'!$C$2:$C$28,MATCH(TEXT($A4,"0"),'Costar - US Industrial'!$A$2:$A$28,0))/INDEX('Costar - US Industrial'!$B$2:$B$28,MATCH(TEXT($A4,"0"),'Costar - US Industrial'!$A$2:$A$28,0))</f>
        <v>1.105087504347458E-2</v>
      </c>
      <c r="J4" s="25">
        <f>INDEX(STAG!$AB$8:$AB$17,MATCH($A4,STAG!$A$8:$A$17,0))</f>
        <v>14.440628830004627</v>
      </c>
      <c r="K4" s="25">
        <f>INDEX(STAG!$AC$8:$AC$17,MATCH($A4,STAG!$A$8:$A$17,0))</f>
        <v>10.892698354992859</v>
      </c>
      <c r="L4" s="5">
        <f>INDEX(STAG!$B$8:$B$17,MATCH($A4,STAG!$A$8:$A$17,0))</f>
        <v>201.12899999999999</v>
      </c>
      <c r="M4" s="5">
        <f>INDEX(STAG!$Q$8:$Q$17,MATCH($A4,STAG!$A$8:$A$17,0))</f>
        <v>2904.4292359500005</v>
      </c>
      <c r="N4" s="5">
        <f>INDEX(STAG!$D$8:$D$17,MATCH($A4,STAG!$A$8:$A$17,0))</f>
        <v>158.20599999999999</v>
      </c>
      <c r="O4" s="5">
        <f>INDEX(STAG!$K$8:$K$17,MATCH($A4,STAG!$A$8:$A$17,0))</f>
        <v>1723.2902359500001</v>
      </c>
      <c r="P4" s="24">
        <f>INDEX('Prime Rate'!$B$2:$B$11,MATCH($A4,'Prime Rate'!$A$2:$A$11,0))/100</f>
        <v>3.5099999999999999E-2</v>
      </c>
      <c r="Q4" s="5">
        <f t="shared" ref="Q4:Q13" si="2">M4-L4</f>
        <v>2703.3002359500006</v>
      </c>
      <c r="R4" s="5">
        <f t="shared" ref="R4:R13" si="3">O4-N4</f>
        <v>1565.0842359500002</v>
      </c>
      <c r="S4" s="31">
        <f>INDEX(Inflation!$G$4:$G$19,MATCH($A4,Inflation!$A$4:$A$19,0))</f>
        <v>1.2670779149543066E-2</v>
      </c>
      <c r="T4" s="24">
        <f>INDEX('Green Street National'!$D$4:$D$18,MATCH($A4,'Green Street National'!$A$4:$A$18,0))</f>
        <v>5.8150930000000003E-2</v>
      </c>
      <c r="U4" s="37">
        <f>INDEX('Green Street National'!$F$4:$F$18,MATCH($A4,'Green Street National'!$A$4:$A$18,0))</f>
        <v>100</v>
      </c>
      <c r="V4" s="37">
        <f>INDEX(Inflation!$D$4:$D$19,MATCH($A4,Inflation!$A$4:$A$19,0))</f>
        <v>100</v>
      </c>
      <c r="W4" s="37">
        <f>INDEX(Inflation!$E$4:$E$19,MATCH($A4,Inflation!$A$4:$A$19,0))</f>
        <v>100</v>
      </c>
      <c r="X4" s="37">
        <f>INDEX('Costar - US Industrial'!$H$2:$H$28,MATCH(TEXT($A4,"0"),'Costar - US Industrial'!$A$2:$A$28,0))/'Costar - US Industrial'!$H$18*100</f>
        <v>100</v>
      </c>
      <c r="Y4" s="31">
        <f>INDEX('Green Street National'!$C$4:$C$18,MATCH($A4,'Green Street National'!$A$4:$A$18,0))</f>
        <v>6.7850380000000002E-2</v>
      </c>
      <c r="Z4" s="31">
        <f>INDEX('Costar - US Industrial'!$F$2:$F$28,MATCH(TEXT($A4-1,"0"),'Costar - US Industrial'!$A$2:$A$28,0))-INDEX('Costar - US Industrial'!$F$2:$F$28,MATCH(TEXT($A4,"0"),'Costar - US Industrial'!$A$2:$A$28,0))</f>
        <v>6.7741451500690011E-3</v>
      </c>
      <c r="AA4" s="38">
        <f>INDEX('Costar - US Industrial'!$H$2:$H$28,MATCH(TEXT($A4,"0"),'Costar - US Industrial'!$A$2:$A$28,0))</f>
        <v>7.2084040180553197</v>
      </c>
      <c r="AB4" s="31">
        <f>1-INDEX('Costar - US Industrial'!$F$2:$F$28,MATCH(TEXT($A4,"0"),'Costar - US Industrial'!$A$2:$A$28,0))</f>
        <v>0.94774606694073227</v>
      </c>
      <c r="AC4">
        <v>100</v>
      </c>
      <c r="AE4" s="39" t="str">
        <f>""</f>
        <v/>
      </c>
      <c r="AF4" s="39" t="str">
        <f>""</f>
        <v/>
      </c>
    </row>
    <row r="5" spans="1:32" ht="15" customHeight="1" x14ac:dyDescent="0.25">
      <c r="A5">
        <v>2017</v>
      </c>
      <c r="B5" s="35">
        <f>INDEX(STAG!$Z$8:$Z$17,MATCH($A5,STAG!$A$8:$A$17,0))</f>
        <v>6.4756802953310599E-2</v>
      </c>
      <c r="C5" s="35">
        <f>INDEX(STAG!$Y$8:$Y$17,MATCH($A5,STAG!$A$8:$A$17,0))</f>
        <v>2.4E-2</v>
      </c>
      <c r="D5" s="36">
        <f t="shared" si="0"/>
        <v>4.0756802953310599E-2</v>
      </c>
      <c r="E5" s="35">
        <f>INDEX(STAG!$AA$8:$AA$17,MATCH($A5,STAG!$A$8:$A$17,0))</f>
        <v>8.2359584581181325E-2</v>
      </c>
      <c r="F5" s="36">
        <f t="shared" si="1"/>
        <v>1.7602781627870726E-2</v>
      </c>
      <c r="G5" s="35">
        <f>INDEX('Costar - US Industrial'!$F$2:$F$28,MATCH(TEXT($A5,"0"),'Costar - US Industrial'!$A$2:$A$28,0))</f>
        <v>4.9649774370652398E-2</v>
      </c>
      <c r="H5" s="35">
        <f>INDEX('Costar - US Industrial'!$I$2:$I$28,MATCH(TEXT($A5,"0"),'Costar - US Industrial'!$A$2:$A$28,0))</f>
        <v>5.72098544479408E-2</v>
      </c>
      <c r="I5" s="35">
        <f>INDEX('Costar - US Industrial'!$C$2:$C$28,MATCH(TEXT($A5,"0"),'Costar - US Industrial'!$A$2:$A$28,0))/INDEX('Costar - US Industrial'!$B$2:$B$28,MATCH(TEXT($A5,"0"),'Costar - US Industrial'!$A$2:$A$28,0))</f>
        <v>1.3345345205154608E-2</v>
      </c>
      <c r="J5" s="25">
        <f>INDEX(STAG!$AB$8:$AB$17,MATCH($A5,STAG!$A$8:$A$17,0))</f>
        <v>15.442392990293175</v>
      </c>
      <c r="K5" s="25">
        <f>INDEX(STAG!$AC$8:$AC$17,MATCH($A5,STAG!$A$8:$A$17,0))</f>
        <v>12.141877658626438</v>
      </c>
      <c r="L5" s="5">
        <f>INDEX(STAG!$B$8:$B$17,MATCH($A5,STAG!$A$8:$A$17,0))</f>
        <v>243.334</v>
      </c>
      <c r="M5" s="5">
        <f>INDEX(STAG!$Q$8:$Q$17,MATCH($A5,STAG!$A$8:$A$17,0))</f>
        <v>3757.6592558999996</v>
      </c>
      <c r="N5" s="5">
        <f>INDEX(STAG!$D$8:$D$17,MATCH($A5,STAG!$A$8:$A$17,0))</f>
        <v>200.86500000000001</v>
      </c>
      <c r="O5" s="5">
        <f>INDEX(STAG!$K$8:$K$17,MATCH($A5,STAG!$A$8:$A$17,0))</f>
        <v>2438.8782558999997</v>
      </c>
      <c r="P5" s="24">
        <f>INDEX('Prime Rate'!$B$2:$B$11,MATCH($A5,'Prime Rate'!$A$2:$A$11,0))/100</f>
        <v>4.0999999999999995E-2</v>
      </c>
      <c r="Q5" s="5">
        <f t="shared" si="2"/>
        <v>3514.3252558999998</v>
      </c>
      <c r="R5" s="5">
        <f t="shared" si="3"/>
        <v>2238.0132558999994</v>
      </c>
      <c r="S5" s="31">
        <f>INDEX(Inflation!$G$4:$G$19,MATCH($A5,Inflation!$A$4:$A$19,0))</f>
        <v>2.1316222578696253E-2</v>
      </c>
      <c r="T5" s="24">
        <f>INDEX('Green Street National'!$D$4:$D$18,MATCH($A5,'Green Street National'!$A$4:$A$18,0))</f>
        <v>5.5684129999999998E-2</v>
      </c>
      <c r="U5" s="37">
        <f>INDEX('Green Street National'!$F$4:$F$18,MATCH($A5,'Green Street National'!$A$4:$A$18,0))</f>
        <v>109.44425857524243</v>
      </c>
      <c r="V5" s="37">
        <f>INDEX(Inflation!$D$4:$D$19,MATCH($A5,Inflation!$A$4:$A$19,0))</f>
        <v>102.1961670162606</v>
      </c>
      <c r="W5" s="37">
        <f>INDEX(Inflation!$E$4:$E$19,MATCH($A5,Inflation!$A$4:$A$19,0))</f>
        <v>102.13162225786962</v>
      </c>
      <c r="X5" s="37">
        <f>INDEX('Costar - US Industrial'!$H$2:$H$28,MATCH(TEXT($A5,"0"),'Costar - US Industrial'!$A$2:$A$28,0))/'Costar - US Industrial'!$H$18*100</f>
        <v>105.72098544479414</v>
      </c>
      <c r="Y5" s="31">
        <f>INDEX('Green Street National'!$C$4:$C$18,MATCH($A5,'Green Street National'!$A$4:$A$18,0))</f>
        <v>5.6166010000000002E-2</v>
      </c>
      <c r="Z5" s="31">
        <f>INDEX('Costar - US Industrial'!$F$2:$F$28,MATCH(TEXT($A5-1,"0"),'Costar - US Industrial'!$A$2:$A$28,0))-INDEX('Costar - US Industrial'!$F$2:$F$28,MATCH(TEXT($A5,"0"),'Costar - US Industrial'!$A$2:$A$28,0))</f>
        <v>2.604158688615299E-3</v>
      </c>
      <c r="AA5" s="38">
        <f>INDEX('Costar - US Industrial'!$H$2:$H$28,MATCH(TEXT($A5,"0"),'Costar - US Industrial'!$A$2:$A$28,0))</f>
        <v>7.6207957627302196</v>
      </c>
      <c r="AB5" s="31">
        <f>1-INDEX('Costar - US Industrial'!$F$2:$F$28,MATCH(TEXT($A5,"0"),'Costar - US Industrial'!$A$2:$A$28,0))</f>
        <v>0.95035022562934757</v>
      </c>
      <c r="AC5">
        <f t="shared" ref="AC5:AC13" si="4">AC4*(1+Y5)</f>
        <v>105.616601</v>
      </c>
      <c r="AE5" s="39" t="str">
        <f t="shared" ref="AE5:AE13" si="5">IF(N(L4)=0,"",TEXT(L5/L4-1,"+0%;-0%"))</f>
        <v>+21%</v>
      </c>
      <c r="AF5" s="39" t="str">
        <f t="shared" ref="AF5:AF13" si="6">IF(N(N4)=0,"",TEXT(N5/N4-1,"+0%;-0%"))</f>
        <v>+27%</v>
      </c>
    </row>
    <row r="6" spans="1:32" ht="15" customHeight="1" x14ac:dyDescent="0.25">
      <c r="A6">
        <v>2018</v>
      </c>
      <c r="B6" s="35">
        <f>INDEX(STAG!$Z$8:$Z$17,MATCH($A6,STAG!$A$8:$A$17,0))</f>
        <v>7.1842411093549219E-2</v>
      </c>
      <c r="C6" s="35">
        <f>INDEX(STAG!$Y$8:$Y$17,MATCH($A6,STAG!$A$8:$A$17,0))</f>
        <v>2.69E-2</v>
      </c>
      <c r="D6" s="36">
        <f t="shared" si="0"/>
        <v>4.4942411093549219E-2</v>
      </c>
      <c r="E6" s="35">
        <f>INDEX(STAG!$AA$8:$AA$17,MATCH($A6,STAG!$A$8:$A$17,0))</f>
        <v>9.2376652056985059E-2</v>
      </c>
      <c r="F6" s="36">
        <f t="shared" si="1"/>
        <v>2.053424096343584E-2</v>
      </c>
      <c r="G6" s="35">
        <f>INDEX('Costar - US Industrial'!$F$2:$F$28,MATCH(TEXT($A6,"0"),'Costar - US Industrial'!$A$2:$A$28,0))</f>
        <v>4.6766791152018601E-2</v>
      </c>
      <c r="H6" s="35">
        <f>INDEX('Costar - US Industrial'!$I$2:$I$28,MATCH(TEXT($A6,"0"),'Costar - US Industrial'!$A$2:$A$28,0))</f>
        <v>5.7435897247827598E-2</v>
      </c>
      <c r="I6" s="35">
        <f>INDEX('Costar - US Industrial'!$C$2:$C$28,MATCH(TEXT($A6,"0"),'Costar - US Industrial'!$A$2:$A$28,0))/INDEX('Costar - US Industrial'!$B$2:$B$28,MATCH(TEXT($A6,"0"),'Costar - US Industrial'!$A$2:$A$28,0))</f>
        <v>1.3501732485549263E-2</v>
      </c>
      <c r="J6" s="25">
        <f>INDEX(STAG!$AB$8:$AB$17,MATCH($A6,STAG!$A$8:$A$17,0))</f>
        <v>13.919354665002198</v>
      </c>
      <c r="K6" s="25">
        <f>INDEX(STAG!$AC$8:$AC$17,MATCH($A6,STAG!$A$8:$A$17,0))</f>
        <v>10.825246182153503</v>
      </c>
      <c r="L6" s="5">
        <f>INDEX(STAG!$B$8:$B$17,MATCH($A6,STAG!$A$8:$A$17,0))</f>
        <v>281.97199999999998</v>
      </c>
      <c r="M6" s="5">
        <f>INDEX(STAG!$Q$8:$Q$17,MATCH($A6,STAG!$A$8:$A$17,0))</f>
        <v>3924.8682735999996</v>
      </c>
      <c r="N6" s="5">
        <f>INDEX(STAG!$D$8:$D$17,MATCH($A6,STAG!$A$8:$A$17,0))</f>
        <v>233.15499999999997</v>
      </c>
      <c r="O6" s="5">
        <f>INDEX(STAG!$K$8:$K$17,MATCH($A6,STAG!$A$8:$A$17,0))</f>
        <v>2523.9602735999997</v>
      </c>
      <c r="P6" s="24">
        <f>INDEX('Prime Rate'!$B$2:$B$11,MATCH($A6,'Prime Rate'!$A$2:$A$11,0))/100</f>
        <v>4.9000000000000002E-2</v>
      </c>
      <c r="Q6" s="5">
        <f t="shared" si="2"/>
        <v>3642.8962735999994</v>
      </c>
      <c r="R6" s="5">
        <f t="shared" si="3"/>
        <v>2290.8052736</v>
      </c>
      <c r="S6" s="31">
        <f>INDEX(Inflation!$G$4:$G$19,MATCH($A6,Inflation!$A$4:$A$19,0))</f>
        <v>2.4392034954165531E-2</v>
      </c>
      <c r="T6" s="24">
        <f>INDEX('Green Street National'!$D$4:$D$18,MATCH($A6,'Green Street National'!$A$4:$A$18,0))</f>
        <v>5.391642E-2</v>
      </c>
      <c r="U6" s="37">
        <f>INDEX('Green Street National'!$F$4:$F$18,MATCH($A6,'Green Street National'!$A$4:$A$18,0))</f>
        <v>121.46241901260227</v>
      </c>
      <c r="V6" s="37">
        <f>INDEX(Inflation!$D$4:$D$19,MATCH($A6,Inflation!$A$4:$A$19,0))</f>
        <v>106.49169042112622</v>
      </c>
      <c r="W6" s="37">
        <f>INDEX(Inflation!$E$4:$E$19,MATCH($A6,Inflation!$A$4:$A$19,0))</f>
        <v>104.62282035790922</v>
      </c>
      <c r="X6" s="37">
        <f>INDEX('Costar - US Industrial'!$H$2:$H$28,MATCH(TEXT($A6,"0"),'Costar - US Industrial'!$A$2:$A$28,0))/'Costar - US Industrial'!$H$18*100</f>
        <v>111.79316510174037</v>
      </c>
      <c r="Y6" s="31">
        <f>INDEX('Green Street National'!$C$4:$C$18,MATCH($A6,'Green Street National'!$A$4:$A$18,0))</f>
        <v>5.4186060000000001E-2</v>
      </c>
      <c r="Z6" s="31">
        <f>INDEX('Costar - US Industrial'!$F$2:$F$28,MATCH(TEXT($A6-1,"0"),'Costar - US Industrial'!$A$2:$A$28,0))-INDEX('Costar - US Industrial'!$F$2:$F$28,MATCH(TEXT($A6,"0"),'Costar - US Industrial'!$A$2:$A$28,0))</f>
        <v>2.8829832186337973E-3</v>
      </c>
      <c r="AA6" s="38">
        <f>INDEX('Costar - US Industrial'!$H$2:$H$28,MATCH(TEXT($A6,"0"),'Costar - US Industrial'!$A$2:$A$28,0))</f>
        <v>8.0585030051050701</v>
      </c>
      <c r="AB6" s="31">
        <f>1-INDEX('Costar - US Industrial'!$F$2:$F$28,MATCH(TEXT($A6,"0"),'Costar - US Industrial'!$A$2:$A$28,0))</f>
        <v>0.95323320884798135</v>
      </c>
      <c r="AC6">
        <f t="shared" si="4"/>
        <v>111.33954847878205</v>
      </c>
      <c r="AE6" s="39" t="str">
        <f t="shared" si="5"/>
        <v>+16%</v>
      </c>
      <c r="AF6" s="39" t="str">
        <f t="shared" si="6"/>
        <v>+16%</v>
      </c>
    </row>
    <row r="7" spans="1:32" ht="15" customHeight="1" x14ac:dyDescent="0.25">
      <c r="A7">
        <v>2019</v>
      </c>
      <c r="B7" s="35">
        <f>INDEX(STAG!$Z$8:$Z$17,MATCH($A7,STAG!$A$8:$A$17,0))</f>
        <v>5.6240709822420722E-2</v>
      </c>
      <c r="C7" s="35">
        <f>INDEX(STAG!$Y$8:$Y$17,MATCH($A7,STAG!$A$8:$A$17,0))</f>
        <v>1.9199999999999998E-2</v>
      </c>
      <c r="D7" s="36">
        <f t="shared" si="0"/>
        <v>3.704070982242072E-2</v>
      </c>
      <c r="E7" s="35">
        <f>INDEX(STAG!$AA$8:$AA$17,MATCH($A7,STAG!$A$8:$A$17,0))</f>
        <v>6.6354720233699718E-2</v>
      </c>
      <c r="F7" s="36">
        <f t="shared" si="1"/>
        <v>1.0114010411278997E-2</v>
      </c>
      <c r="G7" s="35">
        <f>INDEX('Costar - US Industrial'!$F$2:$F$28,MATCH(TEXT($A7,"0"),'Costar - US Industrial'!$A$2:$A$28,0))</f>
        <v>5.0732433845904E-2</v>
      </c>
      <c r="H7" s="35">
        <f>INDEX('Costar - US Industrial'!$I$2:$I$28,MATCH(TEXT($A7,"0"),'Costar - US Industrial'!$A$2:$A$28,0))</f>
        <v>5.6740707446471E-2</v>
      </c>
      <c r="I7" s="35">
        <f>INDEX('Costar - US Industrial'!$C$2:$C$28,MATCH(TEXT($A7,"0"),'Costar - US Industrial'!$A$2:$A$28,0))/INDEX('Costar - US Industrial'!$B$2:$B$28,MATCH(TEXT($A7,"0"),'Costar - US Industrial'!$A$2:$A$28,0))</f>
        <v>1.520156978501716E-2</v>
      </c>
      <c r="J7" s="25">
        <f>INDEX(STAG!$AB$8:$AB$17,MATCH($A7,STAG!$A$8:$A$17,0))</f>
        <v>17.780714417678698</v>
      </c>
      <c r="K7" s="25">
        <f>INDEX(STAG!$AC$8:$AC$17,MATCH($A7,STAG!$A$8:$A$17,0))</f>
        <v>15.070517914596342</v>
      </c>
      <c r="L7" s="5">
        <f>INDEX(STAG!$B$8:$B$17,MATCH($A7,STAG!$A$8:$A$17,0))</f>
        <v>330.77100000000002</v>
      </c>
      <c r="M7" s="5">
        <f>INDEX(STAG!$Q$8:$Q$17,MATCH($A7,STAG!$A$8:$A$17,0))</f>
        <v>5881.3446886500005</v>
      </c>
      <c r="N7" s="5">
        <f>INDEX(STAG!$D$8:$D$17,MATCH($A7,STAG!$A$8:$A$17,0))</f>
        <v>276.12400000000002</v>
      </c>
      <c r="O7" s="5">
        <f>INDEX(STAG!$K$8:$K$17,MATCH($A7,STAG!$A$8:$A$17,0))</f>
        <v>4161.3316886500006</v>
      </c>
      <c r="P7" s="24">
        <f>INDEX('Prime Rate'!$B$2:$B$11,MATCH($A7,'Prime Rate'!$A$2:$A$11,0))/100</f>
        <v>5.28E-2</v>
      </c>
      <c r="Q7" s="5">
        <f t="shared" si="2"/>
        <v>5550.5736886500008</v>
      </c>
      <c r="R7" s="5">
        <f t="shared" si="3"/>
        <v>3885.2076886500008</v>
      </c>
      <c r="S7" s="31">
        <f>INDEX(Inflation!$G$4:$G$19,MATCH($A7,Inflation!$A$4:$A$19,0))</f>
        <v>1.8132218239745201E-2</v>
      </c>
      <c r="T7" s="24">
        <f>INDEX('Green Street National'!$D$4:$D$18,MATCH($A7,'Green Street National'!$A$4:$A$18,0))</f>
        <v>5.0796620000000001E-2</v>
      </c>
      <c r="U7" s="37">
        <f>INDEX('Green Street National'!$F$4:$F$18,MATCH($A7,'Green Street National'!$A$4:$A$18,0))</f>
        <v>137.28576583568642</v>
      </c>
      <c r="V7" s="37">
        <f>INDEX(Inflation!$D$4:$D$19,MATCH($A7,Inflation!$A$4:$A$19,0))</f>
        <v>111.95252693666073</v>
      </c>
      <c r="W7" s="37">
        <f>INDEX(Inflation!$E$4:$E$19,MATCH($A7,Inflation!$A$4:$A$19,0))</f>
        <v>106.51986416949646</v>
      </c>
      <c r="X7" s="37">
        <f>INDEX('Costar - US Industrial'!$H$2:$H$28,MATCH(TEXT($A7,"0"),'Costar - US Industrial'!$A$2:$A$28,0))/'Costar - US Industrial'!$H$18*100</f>
        <v>118.13638837729331</v>
      </c>
      <c r="Y7" s="31">
        <f>INDEX('Green Street National'!$C$4:$C$18,MATCH($A7,'Green Street National'!$A$4:$A$18,0))</f>
        <v>5.6557040000000003E-2</v>
      </c>
      <c r="Z7" s="31">
        <f>INDEX('Costar - US Industrial'!$F$2:$F$28,MATCH(TEXT($A7-1,"0"),'Costar - US Industrial'!$A$2:$A$28,0))-INDEX('Costar - US Industrial'!$F$2:$F$28,MATCH(TEXT($A7,"0"),'Costar - US Industrial'!$A$2:$A$28,0))</f>
        <v>-3.9656426938853989E-3</v>
      </c>
      <c r="AA7" s="38">
        <f>INDEX('Costar - US Industrial'!$H$2:$H$28,MATCH(TEXT($A7,"0"),'Costar - US Industrial'!$A$2:$A$28,0))</f>
        <v>8.5157481665742498</v>
      </c>
      <c r="AB7" s="31">
        <f>1-INDEX('Costar - US Industrial'!$F$2:$F$28,MATCH(TEXT($A7,"0"),'Costar - US Industrial'!$A$2:$A$28,0))</f>
        <v>0.94926756615409602</v>
      </c>
      <c r="AC7">
        <f t="shared" si="4"/>
        <v>117.63658377567846</v>
      </c>
      <c r="AE7" s="39" t="str">
        <f t="shared" si="5"/>
        <v>+17%</v>
      </c>
      <c r="AF7" s="39" t="str">
        <f t="shared" si="6"/>
        <v>+18%</v>
      </c>
    </row>
    <row r="8" spans="1:32" ht="15" customHeight="1" x14ac:dyDescent="0.25">
      <c r="A8">
        <v>2020</v>
      </c>
      <c r="B8" s="35">
        <f>INDEX(STAG!$Z$8:$Z$17,MATCH($A8,STAG!$A$8:$A$17,0))</f>
        <v>6.2295980803963029E-2</v>
      </c>
      <c r="C8" s="35">
        <f>INDEX(STAG!$Y$8:$Y$17,MATCH($A8,STAG!$A$8:$A$17,0))</f>
        <v>9.300000000000001E-3</v>
      </c>
      <c r="D8" s="36">
        <f t="shared" si="0"/>
        <v>5.2995980803963026E-2</v>
      </c>
      <c r="E8" s="35">
        <f>INDEX(STAG!$AA$8:$AA$17,MATCH($A8,STAG!$A$8:$A$17,0))</f>
        <v>7.2948123423069791E-2</v>
      </c>
      <c r="F8" s="36">
        <f t="shared" si="1"/>
        <v>1.0652142619106762E-2</v>
      </c>
      <c r="G8" s="35">
        <f>INDEX('Costar - US Industrial'!$F$2:$F$28,MATCH(TEXT($A8,"0"),'Costar - US Industrial'!$A$2:$A$28,0))</f>
        <v>5.45368241986533E-2</v>
      </c>
      <c r="H8" s="35">
        <f>INDEX('Costar - US Industrial'!$I$2:$I$28,MATCH(TEXT($A8,"0"),'Costar - US Industrial'!$A$2:$A$28,0))</f>
        <v>5.83307173327988E-2</v>
      </c>
      <c r="I8" s="35">
        <f>INDEX('Costar - US Industrial'!$C$2:$C$28,MATCH(TEXT($A8,"0"),'Costar - US Industrial'!$A$2:$A$28,0))/INDEX('Costar - US Industrial'!$B$2:$B$28,MATCH(TEXT($A8,"0"),'Costar - US Industrial'!$A$2:$A$28,0))</f>
        <v>1.6861498232482647E-2</v>
      </c>
      <c r="J8" s="25">
        <f>INDEX(STAG!$AB$8:$AB$17,MATCH($A8,STAG!$A$8:$A$17,0))</f>
        <v>16.052399963761125</v>
      </c>
      <c r="K8" s="25">
        <f>INDEX(STAG!$AC$8:$AC$17,MATCH($A8,STAG!$A$8:$A$17,0))</f>
        <v>13.708371827475286</v>
      </c>
      <c r="L8" s="5">
        <f>INDEX(STAG!$B$8:$B$17,MATCH($A8,STAG!$A$8:$A$17,0))</f>
        <v>394.05200000000002</v>
      </c>
      <c r="M8" s="5">
        <f>INDEX(STAG!$Q$8:$Q$17,MATCH($A8,STAG!$A$8:$A$17,0))</f>
        <v>6325.4803105199999</v>
      </c>
      <c r="N8" s="5">
        <f>INDEX(STAG!$D$8:$D$17,MATCH($A8,STAG!$A$8:$A$17,0))</f>
        <v>331.709</v>
      </c>
      <c r="O8" s="5">
        <f>INDEX(STAG!$K$8:$K$17,MATCH($A8,STAG!$A$8:$A$17,0))</f>
        <v>4547.1903105199999</v>
      </c>
      <c r="P8" s="24">
        <f>INDEX('Prime Rate'!$B$2:$B$11,MATCH($A8,'Prime Rate'!$A$2:$A$11,0))/100</f>
        <v>3.5400000000000001E-2</v>
      </c>
      <c r="Q8" s="5">
        <f t="shared" si="2"/>
        <v>5931.4283105200002</v>
      </c>
      <c r="R8" s="5">
        <f t="shared" si="3"/>
        <v>4215.4813105200001</v>
      </c>
      <c r="S8" s="31">
        <f>INDEX(Inflation!$G$4:$G$19,MATCH($A8,Inflation!$A$4:$A$19,0))</f>
        <v>1.2528701012700871E-2</v>
      </c>
      <c r="T8" s="24">
        <f>INDEX('Green Street National'!$D$4:$D$18,MATCH($A8,'Green Street National'!$A$4:$A$18,0))</f>
        <v>4.8337989999999997E-2</v>
      </c>
      <c r="U8" s="37">
        <f>INDEX('Green Street National'!$F$4:$F$18,MATCH($A8,'Green Street National'!$A$4:$A$18,0))</f>
        <v>147.54207586613023</v>
      </c>
      <c r="V8" s="37">
        <f>INDEX(Inflation!$D$4:$D$19,MATCH($A8,Inflation!$A$4:$A$19,0))</f>
        <v>114.71611179834704</v>
      </c>
      <c r="W8" s="37">
        <f>INDEX(Inflation!$E$4:$E$19,MATCH($A8,Inflation!$A$4:$A$19,0))</f>
        <v>107.8544196995896</v>
      </c>
      <c r="X8" s="37">
        <f>INDEX('Costar - US Industrial'!$H$2:$H$28,MATCH(TEXT($A8,"0"),'Costar - US Industrial'!$A$2:$A$28,0))/'Costar - US Industrial'!$H$18*100</f>
        <v>125.02736865444692</v>
      </c>
      <c r="Y8" s="31">
        <f>INDEX('Green Street National'!$C$4:$C$18,MATCH($A8,'Green Street National'!$A$4:$A$18,0))</f>
        <v>3.1253759999999998E-2</v>
      </c>
      <c r="Z8" s="31">
        <f>INDEX('Costar - US Industrial'!$F$2:$F$28,MATCH(TEXT($A8-1,"0"),'Costar - US Industrial'!$A$2:$A$28,0))-INDEX('Costar - US Industrial'!$F$2:$F$28,MATCH(TEXT($A8,"0"),'Costar - US Industrial'!$A$2:$A$28,0))</f>
        <v>-3.8043903527492998E-3</v>
      </c>
      <c r="AA8" s="38">
        <f>INDEX('Costar - US Industrial'!$H$2:$H$28,MATCH(TEXT($A8,"0"),'Costar - US Industrial'!$A$2:$A$28,0))</f>
        <v>9.0124778657559901</v>
      </c>
      <c r="AB8" s="31">
        <f>1-INDEX('Costar - US Industrial'!$F$2:$F$28,MATCH(TEXT($A8,"0"),'Costar - US Industrial'!$A$2:$A$28,0))</f>
        <v>0.94546317580134676</v>
      </c>
      <c r="AC8">
        <f t="shared" si="4"/>
        <v>121.31316933222341</v>
      </c>
      <c r="AE8" s="39" t="str">
        <f t="shared" si="5"/>
        <v>+19%</v>
      </c>
      <c r="AF8" s="39" t="str">
        <f t="shared" si="6"/>
        <v>+20%</v>
      </c>
    </row>
    <row r="9" spans="1:32" ht="15" customHeight="1" x14ac:dyDescent="0.25">
      <c r="A9">
        <v>2021</v>
      </c>
      <c r="B9" s="35">
        <f>INDEX(STAG!$Z$8:$Z$17,MATCH($A9,STAG!$A$8:$A$17,0))</f>
        <v>4.4270268310456981E-2</v>
      </c>
      <c r="C9" s="35">
        <f>INDEX(STAG!$Y$8:$Y$17,MATCH($A9,STAG!$A$8:$A$17,0))</f>
        <v>1.52E-2</v>
      </c>
      <c r="D9" s="36">
        <f t="shared" si="0"/>
        <v>2.9070268310456983E-2</v>
      </c>
      <c r="E9" s="35">
        <f>INDEX(STAG!$AA$8:$AA$17,MATCH($A9,STAG!$A$8:$A$17,0))</f>
        <v>4.8588109885539452E-2</v>
      </c>
      <c r="F9" s="36">
        <f t="shared" si="1"/>
        <v>4.3178415750824706E-3</v>
      </c>
      <c r="G9" s="35">
        <f>INDEX('Costar - US Industrial'!$F$2:$F$28,MATCH(TEXT($A9,"0"),'Costar - US Industrial'!$A$2:$A$28,0))</f>
        <v>4.13794988938916E-2</v>
      </c>
      <c r="H9" s="35">
        <f>INDEX('Costar - US Industrial'!$I$2:$I$28,MATCH(TEXT($A9,"0"),'Costar - US Industrial'!$A$2:$A$28,0))</f>
        <v>8.2679531974610906E-2</v>
      </c>
      <c r="I9" s="35">
        <f>INDEX('Costar - US Industrial'!$C$2:$C$28,MATCH(TEXT($A9,"0"),'Costar - US Industrial'!$A$2:$A$28,0))/INDEX('Costar - US Industrial'!$B$2:$B$28,MATCH(TEXT($A9,"0"),'Costar - US Industrial'!$A$2:$A$28,0))</f>
        <v>1.6772812695764656E-2</v>
      </c>
      <c r="J9" s="25">
        <f>INDEX(STAG!$AB$8:$AB$17,MATCH($A9,STAG!$A$8:$A$17,0))</f>
        <v>22.588523588500415</v>
      </c>
      <c r="K9" s="25">
        <f>INDEX(STAG!$AC$8:$AC$17,MATCH($A9,STAG!$A$8:$A$17,0))</f>
        <v>20.581166922437028</v>
      </c>
      <c r="L9" s="5">
        <f>INDEX(STAG!$B$8:$B$17,MATCH($A9,STAG!$A$8:$A$17,0))</f>
        <v>454.173</v>
      </c>
      <c r="M9" s="5">
        <f>INDEX(STAG!$Q$8:$Q$17,MATCH($A9,STAG!$A$8:$A$17,0))</f>
        <v>10259.09752376</v>
      </c>
      <c r="N9" s="5">
        <f>INDEX(STAG!$D$8:$D$17,MATCH($A9,STAG!$A$8:$A$17,0))</f>
        <v>390.68900000000002</v>
      </c>
      <c r="O9" s="5">
        <f>INDEX(STAG!$K$8:$K$17,MATCH($A9,STAG!$A$8:$A$17,0))</f>
        <v>8040.8355237599999</v>
      </c>
      <c r="P9" s="24">
        <f>INDEX('Prime Rate'!$B$2:$B$11,MATCH($A9,'Prime Rate'!$A$2:$A$11,0))/100</f>
        <v>3.2500000000000001E-2</v>
      </c>
      <c r="Q9" s="5">
        <f t="shared" si="2"/>
        <v>9804.9245237599989</v>
      </c>
      <c r="R9" s="5">
        <f t="shared" si="3"/>
        <v>7650.1465237599996</v>
      </c>
      <c r="S9" s="31">
        <f>INDEX(Inflation!$G$4:$G$19,MATCH($A9,Inflation!$A$4:$A$19,0))</f>
        <v>4.6809809314831474E-2</v>
      </c>
      <c r="T9" s="24">
        <f>INDEX('Green Street National'!$D$4:$D$18,MATCH($A9,'Green Street National'!$A$4:$A$18,0))</f>
        <v>3.7766719999999997E-2</v>
      </c>
      <c r="U9" s="37">
        <f>INDEX('Green Street National'!$F$4:$F$18,MATCH($A9,'Green Street National'!$A$4:$A$18,0))</f>
        <v>208.42060661993727</v>
      </c>
      <c r="V9" s="37">
        <f>INDEX(Inflation!$D$4:$D$19,MATCH($A9,Inflation!$A$4:$A$19,0))</f>
        <v>120.67175818856559</v>
      </c>
      <c r="W9" s="37">
        <f>INDEX(Inflation!$E$4:$E$19,MATCH($A9,Inflation!$A$4:$A$19,0))</f>
        <v>112.90306451948919</v>
      </c>
      <c r="X9" s="37">
        <f>INDEX('Costar - US Industrial'!$H$2:$H$28,MATCH(TEXT($A9,"0"),'Costar - US Industrial'!$A$2:$A$28,0))/'Costar - US Industrial'!$H$18*100</f>
        <v>135.36457297881367</v>
      </c>
      <c r="Y9" s="31">
        <f>INDEX('Green Street National'!$C$4:$C$18,MATCH($A9,'Green Street National'!$A$4:$A$18,0))</f>
        <v>0.18159117</v>
      </c>
      <c r="Z9" s="31">
        <f>INDEX('Costar - US Industrial'!$F$2:$F$28,MATCH(TEXT($A9-1,"0"),'Costar - US Industrial'!$A$2:$A$28,0))-INDEX('Costar - US Industrial'!$F$2:$F$28,MATCH(TEXT($A9,"0"),'Costar - US Industrial'!$A$2:$A$28,0))</f>
        <v>1.3157325304761699E-2</v>
      </c>
      <c r="AA9" s="38">
        <f>INDEX('Costar - US Industrial'!$H$2:$H$28,MATCH(TEXT($A9,"0"),'Costar - US Industrial'!$A$2:$A$28,0))</f>
        <v>9.7576253176282304</v>
      </c>
      <c r="AB9" s="31">
        <f>1-INDEX('Costar - US Industrial'!$F$2:$F$28,MATCH(TEXT($A9,"0"),'Costar - US Industrial'!$A$2:$A$28,0))</f>
        <v>0.95862050110610841</v>
      </c>
      <c r="AC9">
        <f t="shared" si="4"/>
        <v>143.34256968766996</v>
      </c>
      <c r="AE9" s="39" t="str">
        <f t="shared" si="5"/>
        <v>+15%</v>
      </c>
      <c r="AF9" s="39" t="str">
        <f t="shared" si="6"/>
        <v>+18%</v>
      </c>
    </row>
    <row r="10" spans="1:32" ht="15" customHeight="1" x14ac:dyDescent="0.25">
      <c r="A10">
        <v>2022</v>
      </c>
      <c r="B10" s="35">
        <f>INDEX(STAG!$Z$8:$Z$17,MATCH($A10,STAG!$A$8:$A$17,0))</f>
        <v>6.9235741534149978E-2</v>
      </c>
      <c r="C10" s="35">
        <f>INDEX(STAG!$Y$8:$Y$17,MATCH($A10,STAG!$A$8:$A$17,0))</f>
        <v>3.8800000000000001E-2</v>
      </c>
      <c r="D10" s="36">
        <f t="shared" si="0"/>
        <v>3.0435741534149977E-2</v>
      </c>
      <c r="E10" s="35">
        <f>INDEX(STAG!$AA$8:$AA$17,MATCH($A10,STAG!$A$8:$A$17,0))</f>
        <v>8.7573081918147153E-2</v>
      </c>
      <c r="F10" s="36">
        <f t="shared" si="1"/>
        <v>1.8337340383997175E-2</v>
      </c>
      <c r="G10" s="35">
        <f>INDEX('Costar - US Industrial'!$F$2:$F$28,MATCH(TEXT($A10,"0"),'Costar - US Industrial'!$A$2:$A$28,0))</f>
        <v>3.9003142385786102E-2</v>
      </c>
      <c r="H10" s="35">
        <f>INDEX('Costar - US Industrial'!$I$2:$I$28,MATCH(TEXT($A10,"0"),'Costar - US Industrial'!$A$2:$A$28,0))</f>
        <v>0.100277448941721</v>
      </c>
      <c r="I10" s="35">
        <f>INDEX('Costar - US Industrial'!$C$2:$C$28,MATCH(TEXT($A10,"0"),'Costar - US Industrial'!$A$2:$A$28,0))/INDEX('Costar - US Industrial'!$B$2:$B$28,MATCH(TEXT($A10,"0"),'Costar - US Industrial'!$A$2:$A$28,0))</f>
        <v>2.1881852269300183E-2</v>
      </c>
      <c r="J10" s="25">
        <f>INDEX(STAG!$AB$8:$AB$17,MATCH($A10,STAG!$A$8:$A$17,0))</f>
        <v>14.443407087750449</v>
      </c>
      <c r="K10" s="25">
        <f>INDEX(STAG!$AC$8:$AC$17,MATCH($A10,STAG!$A$8:$A$17,0))</f>
        <v>11.419034001049324</v>
      </c>
      <c r="L10" s="5">
        <f>INDEX(STAG!$B$8:$B$17,MATCH($A10,STAG!$A$8:$A$17,0))</f>
        <v>531.64400000000001</v>
      </c>
      <c r="M10" s="5">
        <f>INDEX(STAG!$Q$8:$Q$17,MATCH($A10,STAG!$A$8:$A$17,0))</f>
        <v>7678.75071776</v>
      </c>
      <c r="N10" s="5">
        <f>INDEX(STAG!$D$8:$D$17,MATCH($A10,STAG!$A$8:$A$17,0))</f>
        <v>453.62599999999998</v>
      </c>
      <c r="O10" s="5">
        <f>INDEX(STAG!$K$8:$K$17,MATCH($A10,STAG!$A$8:$A$17,0))</f>
        <v>5179.9707177600003</v>
      </c>
      <c r="P10" s="24">
        <f>INDEX('Prime Rate'!$B$2:$B$11,MATCH($A10,'Prime Rate'!$A$2:$A$11,0))/100</f>
        <v>4.8499999999999995E-2</v>
      </c>
      <c r="Q10" s="5">
        <f t="shared" si="2"/>
        <v>7147.1067177599998</v>
      </c>
      <c r="R10" s="5">
        <f t="shared" si="3"/>
        <v>4726.3447177600001</v>
      </c>
      <c r="S10" s="31">
        <f>INDEX(Inflation!$G$4:$G$19,MATCH($A10,Inflation!$A$4:$A$19,0))</f>
        <v>7.9908330350256129E-2</v>
      </c>
      <c r="T10" s="24">
        <f>INDEX('Green Street National'!$D$4:$D$18,MATCH($A10,'Green Street National'!$A$4:$A$18,0))</f>
        <v>4.6492600000000002E-2</v>
      </c>
      <c r="U10" s="37">
        <f>INDEX('Green Street National'!$F$4:$F$18,MATCH($A10,'Green Street National'!$A$4:$A$18,0))</f>
        <v>173.4329975271215</v>
      </c>
      <c r="V10" s="37">
        <f>INDEX(Inflation!$D$4:$D$19,MATCH($A10,Inflation!$A$4:$A$19,0))</f>
        <v>144.71306405636528</v>
      </c>
      <c r="W10" s="37">
        <f>INDEX(Inflation!$E$4:$E$19,MATCH($A10,Inflation!$A$4:$A$19,0))</f>
        <v>121.92495989666881</v>
      </c>
      <c r="X10" s="37">
        <f>INDEX('Costar - US Industrial'!$H$2:$H$28,MATCH(TEXT($A10,"0"),'Costar - US Industrial'!$A$2:$A$28,0))/'Costar - US Industrial'!$H$18*100</f>
        <v>148.93858703421395</v>
      </c>
      <c r="Y10" s="31">
        <f>INDEX('Green Street National'!$C$4:$C$18,MATCH($A10,'Green Street National'!$A$4:$A$18,0))</f>
        <v>0.25601942999999999</v>
      </c>
      <c r="Z10" s="31">
        <f>INDEX('Costar - US Industrial'!$F$2:$F$28,MATCH(TEXT($A10-1,"0"),'Costar - US Industrial'!$A$2:$A$28,0))-INDEX('Costar - US Industrial'!$F$2:$F$28,MATCH(TEXT($A10,"0"),'Costar - US Industrial'!$A$2:$A$28,0))</f>
        <v>2.3763565081054983E-3</v>
      </c>
      <c r="AA10" s="38">
        <f>INDEX('Costar - US Industrial'!$H$2:$H$28,MATCH(TEXT($A10,"0"),'Costar - US Industrial'!$A$2:$A$28,0))</f>
        <v>10.7360950922091</v>
      </c>
      <c r="AB10" s="31">
        <f>1-INDEX('Costar - US Industrial'!$F$2:$F$28,MATCH(TEXT($A10,"0"),'Costar - US Industrial'!$A$2:$A$28,0))</f>
        <v>0.96099685761421394</v>
      </c>
      <c r="AC10">
        <f t="shared" si="4"/>
        <v>180.0410526738425</v>
      </c>
      <c r="AE10" s="39" t="str">
        <f t="shared" si="5"/>
        <v>+17%</v>
      </c>
      <c r="AF10" s="39" t="str">
        <f t="shared" si="6"/>
        <v>+16%</v>
      </c>
    </row>
    <row r="11" spans="1:32" ht="15" customHeight="1" x14ac:dyDescent="0.25">
      <c r="A11">
        <v>2023</v>
      </c>
      <c r="B11" s="35">
        <f>INDEX(STAG!$Z$8:$Z$17,MATCH($A11,STAG!$A$8:$A$17,0))</f>
        <v>6.2374658083609959E-2</v>
      </c>
      <c r="C11" s="35">
        <f>INDEX(STAG!$Y$8:$Y$17,MATCH($A11,STAG!$A$8:$A$17,0))</f>
        <v>3.8800000000000001E-2</v>
      </c>
      <c r="D11" s="36">
        <f t="shared" si="0"/>
        <v>2.3574658083609958E-2</v>
      </c>
      <c r="E11" s="35">
        <f>INDEX(STAG!$AA$8:$AA$17,MATCH($A11,STAG!$A$8:$A$17,0))</f>
        <v>7.3028136405922386E-2</v>
      </c>
      <c r="F11" s="36">
        <f t="shared" si="1"/>
        <v>1.0653478322312428E-2</v>
      </c>
      <c r="G11" s="35">
        <f>INDEX('Costar - US Industrial'!$F$2:$F$28,MATCH(TEXT($A11,"0"),'Costar - US Industrial'!$A$2:$A$28,0))</f>
        <v>5.6521739316558198E-2</v>
      </c>
      <c r="H11" s="35">
        <f>INDEX('Costar - US Industrial'!$I$2:$I$28,MATCH(TEXT($A11,"0"),'Costar - US Industrial'!$A$2:$A$28,0))</f>
        <v>7.1323482103282002E-2</v>
      </c>
      <c r="I11" s="35">
        <f>INDEX('Costar - US Industrial'!$C$2:$C$28,MATCH(TEXT($A11,"0"),'Costar - US Industrial'!$A$2:$A$28,0))/INDEX('Costar - US Industrial'!$B$2:$B$28,MATCH(TEXT($A11,"0"),'Costar - US Industrial'!$A$2:$A$28,0))</f>
        <v>2.7711761957566982E-2</v>
      </c>
      <c r="J11" s="25">
        <f>INDEX(STAG!$AB$8:$AB$17,MATCH($A11,STAG!$A$8:$A$17,0))</f>
        <v>16.032152010509659</v>
      </c>
      <c r="K11" s="25">
        <f>INDEX(STAG!$AC$8:$AC$17,MATCH($A11,STAG!$A$8:$A$17,0))</f>
        <v>13.693352305220575</v>
      </c>
      <c r="L11" s="5">
        <f>INDEX(STAG!$B$8:$B$17,MATCH($A11,STAG!$A$8:$A$17,0))</f>
        <v>568.23900000000003</v>
      </c>
      <c r="M11" s="5">
        <f>INDEX(STAG!$Q$8:$Q$17,MATCH($A11,STAG!$A$8:$A$17,0))</f>
        <v>9110.0940262999993</v>
      </c>
      <c r="N11" s="5">
        <f>INDEX(STAG!$D$8:$D$17,MATCH($A11,STAG!$A$8:$A$17,0))</f>
        <v>473.66400000000004</v>
      </c>
      <c r="O11" s="5">
        <f>INDEX(STAG!$K$8:$K$17,MATCH($A11,STAG!$A$8:$A$17,0))</f>
        <v>6486.048026299999</v>
      </c>
      <c r="P11" s="24">
        <f>INDEX('Prime Rate'!$B$2:$B$11,MATCH($A11,'Prime Rate'!$A$2:$A$11,0))/100</f>
        <v>8.1900000000000001E-2</v>
      </c>
      <c r="Q11" s="5">
        <f t="shared" si="2"/>
        <v>8541.8550262999997</v>
      </c>
      <c r="R11" s="5">
        <f t="shared" si="3"/>
        <v>6012.3840262999993</v>
      </c>
      <c r="S11" s="31">
        <f>INDEX(Inflation!$G$4:$G$19,MATCH($A11,Inflation!$A$4:$A$19,0))</f>
        <v>4.1271110564338187E-2</v>
      </c>
      <c r="T11" s="24">
        <f>INDEX('Green Street National'!$D$4:$D$18,MATCH($A11,'Green Street National'!$A$4:$A$18,0))</f>
        <v>5.1572890000000003E-2</v>
      </c>
      <c r="U11" s="37">
        <f>INDEX('Green Street National'!$F$4:$F$18,MATCH($A11,'Green Street National'!$A$4:$A$18,0))</f>
        <v>175.91029434755708</v>
      </c>
      <c r="V11" s="37">
        <f>INDEX(Inflation!$D$4:$D$19,MATCH($A11,Inflation!$A$4:$A$19,0))</f>
        <v>156.11789383101166</v>
      </c>
      <c r="W11" s="37">
        <f>INDEX(Inflation!$E$4:$E$19,MATCH($A11,Inflation!$A$4:$A$19,0))</f>
        <v>126.95693839711673</v>
      </c>
      <c r="X11" s="37">
        <f>INDEX('Costar - US Industrial'!$H$2:$H$28,MATCH(TEXT($A11,"0"),'Costar - US Industrial'!$A$2:$A$28,0))/'Costar - US Industrial'!$H$18*100</f>
        <v>159.56140568103808</v>
      </c>
      <c r="Y11" s="31">
        <f>INDEX('Green Street National'!$C$4:$C$18,MATCH($A11,'Green Street National'!$A$4:$A$18,0))</f>
        <v>4.6033749999999998E-2</v>
      </c>
      <c r="Z11" s="31">
        <f>INDEX('Costar - US Industrial'!$F$2:$F$28,MATCH(TEXT($A11-1,"0"),'Costar - US Industrial'!$A$2:$A$28,0))-INDEX('Costar - US Industrial'!$F$2:$F$28,MATCH(TEXT($A11,"0"),'Costar - US Industrial'!$A$2:$A$28,0))</f>
        <v>-1.7518596930772096E-2</v>
      </c>
      <c r="AA11" s="38">
        <f>INDEX('Costar - US Industrial'!$H$2:$H$28,MATCH(TEXT($A11,"0"),'Costar - US Industrial'!$A$2:$A$28,0))</f>
        <v>11.501830778377499</v>
      </c>
      <c r="AB11" s="31">
        <f>1-INDEX('Costar - US Industrial'!$F$2:$F$28,MATCH(TEXT($A11,"0"),'Costar - US Industrial'!$A$2:$A$28,0))</f>
        <v>0.94347826068344176</v>
      </c>
      <c r="AC11">
        <f t="shared" si="4"/>
        <v>188.32901748236702</v>
      </c>
      <c r="AE11" s="39" t="str">
        <f t="shared" si="5"/>
        <v>+7%</v>
      </c>
      <c r="AF11" s="39" t="str">
        <f t="shared" si="6"/>
        <v>+4%</v>
      </c>
    </row>
    <row r="12" spans="1:32" ht="15" customHeight="1" x14ac:dyDescent="0.25">
      <c r="A12">
        <v>2024</v>
      </c>
      <c r="B12" s="35">
        <f>INDEX(STAG!$Z$8:$Z$17,MATCH($A12,STAG!$A$8:$A$17,0))</f>
        <v>7.228371266344541E-2</v>
      </c>
      <c r="C12" s="35">
        <f>INDEX(STAG!$Y$8:$Y$17,MATCH($A12,STAG!$A$8:$A$17,0))</f>
        <v>4.58E-2</v>
      </c>
      <c r="D12" s="36">
        <f t="shared" si="0"/>
        <v>2.6483712663445409E-2</v>
      </c>
      <c r="E12" s="35">
        <f>INDEX(STAG!$AA$8:$AA$17,MATCH($A12,STAG!$A$8:$A$17,0))</f>
        <v>9.1711507865383707E-2</v>
      </c>
      <c r="F12" s="36">
        <f t="shared" si="1"/>
        <v>1.9427795201938297E-2</v>
      </c>
      <c r="G12" s="35">
        <f>INDEX('Costar - US Industrial'!$F$2:$F$28,MATCH(TEXT($A12,"0"),'Costar - US Industrial'!$A$2:$A$28,0))</f>
        <v>6.8090352693426295E-2</v>
      </c>
      <c r="H12" s="35">
        <f>INDEX('Costar - US Industrial'!$I$2:$I$28,MATCH(TEXT($A12,"0"),'Costar - US Industrial'!$A$2:$A$28,0))</f>
        <v>3.5643374899532898E-2</v>
      </c>
      <c r="I12" s="35">
        <f>INDEX('Costar - US Industrial'!$C$2:$C$28,MATCH(TEXT($A12,"0"),'Costar - US Industrial'!$A$2:$A$28,0))/INDEX('Costar - US Industrial'!$B$2:$B$28,MATCH(TEXT($A12,"0"),'Costar - US Industrial'!$A$2:$A$28,0))</f>
        <v>1.9413685589803824E-2</v>
      </c>
      <c r="J12" s="25">
        <f>INDEX(STAG!$AB$8:$AB$17,MATCH($A12,STAG!$A$8:$A$17,0))</f>
        <v>13.834375174612605</v>
      </c>
      <c r="K12" s="25">
        <f>INDEX(STAG!$AC$8:$AC$17,MATCH($A12,STAG!$A$8:$A$17,0))</f>
        <v>10.90375704505724</v>
      </c>
      <c r="L12" s="5">
        <f>INDEX(STAG!$B$8:$B$17,MATCH($A12,STAG!$A$8:$A$17,0))</f>
        <v>612.55600000000004</v>
      </c>
      <c r="M12" s="5">
        <f>INDEX(STAG!$Q$8:$Q$17,MATCH($A12,STAG!$A$8:$A$17,0))</f>
        <v>8474.3295194599996</v>
      </c>
      <c r="N12" s="5">
        <f>INDEX(STAG!$D$8:$D$17,MATCH($A12,STAG!$A$8:$A$17,0))</f>
        <v>499.38700000000006</v>
      </c>
      <c r="O12" s="5">
        <f>INDEX(STAG!$K$8:$K$17,MATCH($A12,STAG!$A$8:$A$17,0))</f>
        <v>5445.1945194600003</v>
      </c>
      <c r="P12" s="24">
        <f>INDEX('Prime Rate'!$B$2:$B$11,MATCH($A12,'Prime Rate'!$A$2:$A$11,0))/100</f>
        <v>8.3100000000000007E-2</v>
      </c>
      <c r="Q12" s="5">
        <f t="shared" si="2"/>
        <v>7861.7735194599991</v>
      </c>
      <c r="R12" s="5">
        <f t="shared" si="3"/>
        <v>4945.8075194600005</v>
      </c>
      <c r="S12" s="31">
        <f>INDEX(Inflation!$G$4:$G$19,MATCH($A12,Inflation!$A$4:$A$19,0))</f>
        <v>2.9520549518711636E-2</v>
      </c>
      <c r="T12" s="24">
        <f>INDEX('Green Street National'!$D$4:$D$18,MATCH($A12,'Green Street National'!$A$4:$A$18,0))</f>
        <v>5.2849069999999998E-2</v>
      </c>
      <c r="U12" s="37">
        <f>INDEX('Green Street National'!$F$4:$F$18,MATCH($A12,'Green Street National'!$A$4:$A$18,0))</f>
        <v>176.10718373483448</v>
      </c>
      <c r="V12" s="37">
        <f>INDEX(Inflation!$D$4:$D$19,MATCH($A12,Inflation!$A$4:$A$19,0))</f>
        <v>156.28103766650528</v>
      </c>
      <c r="W12" s="37">
        <f>INDEX(Inflation!$E$4:$E$19,MATCH($A12,Inflation!$A$4:$A$19,0))</f>
        <v>130.70477698381282</v>
      </c>
      <c r="X12" s="37">
        <f>INDEX('Costar - US Industrial'!$H$2:$H$28,MATCH(TEXT($A12,"0"),'Costar - US Industrial'!$A$2:$A$28,0))/'Costar - US Industrial'!$H$18*100</f>
        <v>165.24871268322249</v>
      </c>
      <c r="Y12" s="31">
        <f>INDEX('Green Street National'!$C$4:$C$18,MATCH($A12,'Green Street National'!$A$4:$A$18,0))</f>
        <v>-4.4370260000000002E-2</v>
      </c>
      <c r="Z12" s="31">
        <f>INDEX('Costar - US Industrial'!$F$2:$F$28,MATCH(TEXT($A12-1,"0"),'Costar - US Industrial'!$A$2:$A$28,0))-INDEX('Costar - US Industrial'!$F$2:$F$28,MATCH(TEXT($A12,"0"),'Costar - US Industrial'!$A$2:$A$28,0))</f>
        <v>-1.1568613376868098E-2</v>
      </c>
      <c r="AA12" s="38">
        <f>INDEX('Costar - US Industrial'!$H$2:$H$28,MATCH(TEXT($A12,"0"),'Costar - US Industrial'!$A$2:$A$28,0))</f>
        <v>11.911794844842101</v>
      </c>
      <c r="AB12" s="31">
        <f>1-INDEX('Costar - US Industrial'!$F$2:$F$28,MATCH(TEXT($A12,"0"),'Costar - US Industrial'!$A$2:$A$28,0))</f>
        <v>0.93190964730657366</v>
      </c>
      <c r="AC12">
        <f t="shared" si="4"/>
        <v>179.97281001112987</v>
      </c>
      <c r="AE12" s="39" t="str">
        <f t="shared" si="5"/>
        <v>+8%</v>
      </c>
      <c r="AF12" s="39" t="str">
        <f t="shared" si="6"/>
        <v>+5%</v>
      </c>
    </row>
    <row r="13" spans="1:32" ht="15" customHeight="1" x14ac:dyDescent="0.25">
      <c r="A13">
        <v>2025</v>
      </c>
      <c r="B13" s="35">
        <f>INDEX(STAG!$Z$8:$Z$17,MATCH($A13,STAG!$A$8:$A$17,0))</f>
        <v>7.1216953153819443E-2</v>
      </c>
      <c r="C13" s="35">
        <f>INDEX(STAG!$Y$8:$Y$17,MATCH($A13,STAG!$A$8:$A$17,0))</f>
        <v>4.1799999999999997E-2</v>
      </c>
      <c r="D13" s="36">
        <f t="shared" si="0"/>
        <v>2.9416953153819446E-2</v>
      </c>
      <c r="E13" s="35">
        <f>INDEX(STAG!$AA$8:$AA$17,MATCH($A13,STAG!$A$8:$A$17,0))</f>
        <v>8.7279982984760016E-2</v>
      </c>
      <c r="F13" s="36">
        <f t="shared" si="1"/>
        <v>1.6063029830940573E-2</v>
      </c>
      <c r="G13" s="35">
        <f>INDEX('Costar - US Industrial'!$F$2:$F$28,MATCH(TEXT($A13,"0"),'Costar - US Industrial'!$A$2:$A$28,0))</f>
        <v>7.4612511764970205E-2</v>
      </c>
      <c r="H13" s="35">
        <f>INDEX('Costar - US Industrial'!$I$2:$I$28,MATCH(TEXT($A13,"0"),'Costar - US Industrial'!$A$2:$A$28,0))</f>
        <v>1.9678942555793499E-2</v>
      </c>
      <c r="I13" s="35">
        <f>INDEX('Costar - US Industrial'!$C$2:$C$28,MATCH(TEXT($A13,"0"),'Costar - US Industrial'!$A$2:$A$28,0))/INDEX('Costar - US Industrial'!$B$2:$B$28,MATCH(TEXT($A13,"0"),'Costar - US Industrial'!$A$2:$A$28,0))</f>
        <v>1.328722929203972E-2</v>
      </c>
      <c r="J13" s="25">
        <f>INDEX(STAG!$AB$8:$AB$17,MATCH($A13,STAG!$A$8:$A$17,0))</f>
        <v>14.041600429607385</v>
      </c>
      <c r="K13" s="25">
        <f>INDEX(STAG!$AC$8:$AC$17,MATCH($A13,STAG!$A$8:$A$17,0))</f>
        <v>11.457380785404258</v>
      </c>
      <c r="L13" s="5">
        <f>INDEX(STAG!$B$8:$B$17,MATCH($A13,STAG!$A$8:$A$17,0))</f>
        <v>673.35900000000004</v>
      </c>
      <c r="M13" s="5">
        <f>INDEX(STAG!$Q$8:$Q$17,MATCH($A13,STAG!$A$8:$A$17,0))</f>
        <v>9455.0380236799992</v>
      </c>
      <c r="N13" s="5">
        <f>INDEX(STAG!$D$8:$D$17,MATCH($A13,STAG!$A$8:$A$17,0))</f>
        <v>541.19900000000007</v>
      </c>
      <c r="O13" s="5">
        <f>INDEX(STAG!$K$8:$K$17,MATCH($A13,STAG!$A$8:$A$17,0))</f>
        <v>6200.7230236799996</v>
      </c>
      <c r="P13" s="24">
        <f>INDEX('Prime Rate'!$B$2:$B$11,MATCH($A13,'Prime Rate'!$A$2:$A$11,0))/100</f>
        <v>7.3700000000000002E-2</v>
      </c>
      <c r="Q13" s="5">
        <f t="shared" si="2"/>
        <v>8781.6790236799989</v>
      </c>
      <c r="R13" s="5">
        <f t="shared" si="3"/>
        <v>5659.52402368</v>
      </c>
      <c r="S13" s="31">
        <f>INDEX(Inflation!$G$4:$G$19,MATCH($A13,Inflation!$A$4:$A$19,0))</f>
        <v>2.6343808376209088E-2</v>
      </c>
      <c r="T13" s="24">
        <f>INDEX('Green Street National'!$D$4:$D$18,MATCH($A13,'Green Street National'!$A$4:$A$18,0))</f>
        <v>5.4278229999999997E-2</v>
      </c>
      <c r="U13" s="37">
        <f>INDEX('Green Street National'!$F$4:$F$18,MATCH($A13,'Green Street National'!$A$4:$A$18,0))</f>
        <v>181.30796990700887</v>
      </c>
      <c r="V13" s="37">
        <f>INDEX(Inflation!$D$4:$D$19,MATCH($A13,Inflation!$A$4:$A$19,0))</f>
        <v>158.82142024776348</v>
      </c>
      <c r="W13" s="37">
        <f>INDEX(Inflation!$E$4:$E$19,MATCH($A13,Inflation!$A$4:$A$19,0))</f>
        <v>134.14803858252952</v>
      </c>
      <c r="X13" s="37">
        <f>INDEX('Costar - US Industrial'!$H$2:$H$28,MATCH(TEXT($A13,"0"),'Costar - US Industrial'!$A$2:$A$28,0))/'Costar - US Industrial'!$H$18*100</f>
        <v>168.50063260753521</v>
      </c>
      <c r="Y13" s="31">
        <f>INDEX('Green Street National'!$C$4:$C$18,MATCH($A13,'Green Street National'!$A$4:$A$18,0))</f>
        <v>-3.6628189999999998E-2</v>
      </c>
      <c r="Z13" s="31">
        <f>INDEX('Costar - US Industrial'!$F$2:$F$28,MATCH(TEXT($A13-1,"0"),'Costar - US Industrial'!$A$2:$A$28,0))-INDEX('Costar - US Industrial'!$F$2:$F$28,MATCH(TEXT($A13,"0"),'Costar - US Industrial'!$A$2:$A$28,0))</f>
        <v>-6.5221590715439093E-3</v>
      </c>
      <c r="AA13" s="38">
        <f>INDEX('Costar - US Industrial'!$H$2:$H$28,MATCH(TEXT($A13,"0"),'Costar - US Industrial'!$A$2:$A$28,0))</f>
        <v>12.1462063713302</v>
      </c>
      <c r="AB13" s="31">
        <f>1-INDEX('Costar - US Industrial'!$F$2:$F$28,MATCH(TEXT($A13,"0"),'Costar - US Industrial'!$A$2:$A$28,0))</f>
        <v>0.92538748823502981</v>
      </c>
      <c r="AC13">
        <f t="shared" si="4"/>
        <v>173.3807317312083</v>
      </c>
      <c r="AE13" s="39" t="str">
        <f t="shared" si="5"/>
        <v>+10%</v>
      </c>
      <c r="AF13" s="39" t="str">
        <f t="shared" si="6"/>
        <v>+8%</v>
      </c>
    </row>
    <row r="14" spans="1:32" x14ac:dyDescent="0.25">
      <c r="G14" s="40"/>
    </row>
    <row r="15" spans="1:32" ht="15" customHeight="1" x14ac:dyDescent="0.25">
      <c r="A15" t="s">
        <v>572</v>
      </c>
    </row>
    <row r="16" spans="1:32" ht="15" customHeight="1" x14ac:dyDescent="0.25">
      <c r="A16" t="s">
        <v>601</v>
      </c>
      <c r="X16" s="41"/>
    </row>
    <row r="17" spans="1:24" ht="15" customHeight="1" x14ac:dyDescent="0.25">
      <c r="A17" t="s">
        <v>574</v>
      </c>
      <c r="X17" s="41"/>
    </row>
    <row r="18" spans="1:24" ht="15" customHeight="1" x14ac:dyDescent="0.25">
      <c r="A18" t="s">
        <v>575</v>
      </c>
      <c r="X18" s="41"/>
    </row>
    <row r="19" spans="1:24" ht="15" customHeight="1" x14ac:dyDescent="0.25">
      <c r="A19" t="s">
        <v>602</v>
      </c>
      <c r="X19" s="41"/>
    </row>
    <row r="20" spans="1:24" ht="15" customHeight="1" x14ac:dyDescent="0.25">
      <c r="A20" t="s">
        <v>577</v>
      </c>
      <c r="X20" s="41"/>
    </row>
    <row r="21" spans="1:24" ht="15" customHeight="1" x14ac:dyDescent="0.25">
      <c r="A21" t="s">
        <v>578</v>
      </c>
      <c r="X21" s="41"/>
    </row>
    <row r="22" spans="1:24" ht="15" customHeight="1" x14ac:dyDescent="0.25">
      <c r="A22" t="s">
        <v>579</v>
      </c>
      <c r="X22" s="41"/>
    </row>
    <row r="23" spans="1:24" ht="15" customHeight="1" x14ac:dyDescent="0.25">
      <c r="A23" t="s">
        <v>580</v>
      </c>
      <c r="X23" s="41"/>
    </row>
    <row r="24" spans="1:24" ht="15" customHeight="1" x14ac:dyDescent="0.25">
      <c r="A24" t="s">
        <v>581</v>
      </c>
      <c r="X24" s="41"/>
    </row>
    <row r="25" spans="1:24" ht="15" customHeight="1" x14ac:dyDescent="0.25">
      <c r="A25" t="s">
        <v>582</v>
      </c>
    </row>
    <row r="26" spans="1:24" ht="15" customHeight="1" x14ac:dyDescent="0.25">
      <c r="A26" t="s">
        <v>603</v>
      </c>
    </row>
    <row r="27" spans="1:24" ht="15" customHeight="1" x14ac:dyDescent="0.25">
      <c r="A27" t="s">
        <v>584</v>
      </c>
    </row>
    <row r="28" spans="1:24" ht="15" customHeight="1" x14ac:dyDescent="0.25">
      <c r="A28" t="s">
        <v>585</v>
      </c>
    </row>
    <row r="29" spans="1:24" ht="15" customHeight="1" x14ac:dyDescent="0.25">
      <c r="A29" t="s">
        <v>586</v>
      </c>
    </row>
    <row r="30" spans="1:24" ht="15" customHeight="1" x14ac:dyDescent="0.25">
      <c r="A30" t="s">
        <v>587</v>
      </c>
    </row>
    <row r="31" spans="1:24" ht="15" customHeight="1" x14ac:dyDescent="0.25">
      <c r="A31" t="s">
        <v>588</v>
      </c>
    </row>
    <row r="32" spans="1:24" ht="15" customHeight="1" x14ac:dyDescent="0.25">
      <c r="A32" t="s">
        <v>589</v>
      </c>
    </row>
  </sheetData>
  <pageMargins left="0.75" right="0.75" top="1" bottom="1" header="0.511811023622047" footer="0.511811023622047"/>
  <pageSetup paperSize="9" orientation="portrait" horizontalDpi="300" verticalDpi="300"/>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164"/>
  <sheetViews>
    <sheetView tabSelected="1" topLeftCell="A115" zoomScale="85" zoomScaleNormal="85" workbookViewId="0">
      <selection activeCell="L131" sqref="L131"/>
    </sheetView>
  </sheetViews>
  <sheetFormatPr defaultColWidth="8.7109375" defaultRowHeight="15" x14ac:dyDescent="0.25"/>
  <cols>
    <col min="1" max="29" width="15" customWidth="1"/>
    <col min="31" max="32" width="15" customWidth="1"/>
  </cols>
  <sheetData>
    <row r="1" spans="1:32" ht="15" customHeight="1" x14ac:dyDescent="0.25">
      <c r="A1" s="32" t="s">
        <v>604</v>
      </c>
    </row>
    <row r="2" spans="1:32" ht="15" customHeight="1" x14ac:dyDescent="0.25">
      <c r="A2" s="33" t="s">
        <v>605</v>
      </c>
    </row>
    <row r="3" spans="1:32" ht="63" customHeight="1" x14ac:dyDescent="0.25">
      <c r="A3" s="6" t="s">
        <v>468</v>
      </c>
      <c r="B3" s="6" t="s">
        <v>606</v>
      </c>
      <c r="C3" s="6" t="s">
        <v>492</v>
      </c>
      <c r="D3" s="6" t="s">
        <v>550</v>
      </c>
      <c r="E3" s="6" t="s">
        <v>607</v>
      </c>
      <c r="F3" s="6" t="s">
        <v>552</v>
      </c>
      <c r="G3" s="6" t="s">
        <v>553</v>
      </c>
      <c r="H3" s="6" t="s">
        <v>554</v>
      </c>
      <c r="I3" s="6" t="s">
        <v>555</v>
      </c>
      <c r="J3" s="6" t="s">
        <v>495</v>
      </c>
      <c r="K3" s="6" t="s">
        <v>496</v>
      </c>
      <c r="L3" s="6" t="s">
        <v>469</v>
      </c>
      <c r="M3" s="6" t="s">
        <v>484</v>
      </c>
      <c r="N3" s="6" t="s">
        <v>471</v>
      </c>
      <c r="O3" s="6" t="s">
        <v>478</v>
      </c>
      <c r="P3" s="6" t="s">
        <v>556</v>
      </c>
      <c r="Q3" s="6" t="s">
        <v>557</v>
      </c>
      <c r="R3" s="6" t="s">
        <v>558</v>
      </c>
      <c r="S3" s="6" t="s">
        <v>559</v>
      </c>
      <c r="T3" s="6" t="s">
        <v>560</v>
      </c>
      <c r="U3" s="6" t="s">
        <v>561</v>
      </c>
      <c r="V3" s="6" t="s">
        <v>562</v>
      </c>
      <c r="W3" s="6" t="s">
        <v>563</v>
      </c>
      <c r="X3" s="6" t="s">
        <v>564</v>
      </c>
      <c r="Y3" s="6" t="s">
        <v>565</v>
      </c>
      <c r="Z3" s="6" t="s">
        <v>566</v>
      </c>
      <c r="AA3" s="6" t="s">
        <v>567</v>
      </c>
      <c r="AB3" s="6" t="s">
        <v>568</v>
      </c>
      <c r="AC3" s="6" t="s">
        <v>569</v>
      </c>
      <c r="AE3" s="34" t="s">
        <v>570</v>
      </c>
      <c r="AF3" s="34" t="s">
        <v>571</v>
      </c>
    </row>
    <row r="4" spans="1:32" ht="15" customHeight="1" x14ac:dyDescent="0.25">
      <c r="A4">
        <v>2016</v>
      </c>
      <c r="B4" s="35">
        <f>INDEX(Composite!$Z$8:$Z$17,MATCH($A4,Composite!$A$8:$A$17,0))</f>
        <v>6.6452920251272182E-2</v>
      </c>
      <c r="C4" s="35">
        <f>INDEX(Composite!$Y$8:$Y$17,MATCH($A4,Composite!$A$8:$A$17,0))</f>
        <v>2.4500000000000001E-2</v>
      </c>
      <c r="D4" s="36">
        <f t="shared" ref="D4:D13" si="0">B4-C4</f>
        <v>4.1952920251272181E-2</v>
      </c>
      <c r="E4" s="35">
        <f>INDEX(Composite!$AA$8:$AA$17,MATCH($A4,Composite!$A$8:$A$17,0))</f>
        <v>8.2789945465334899E-2</v>
      </c>
      <c r="F4" s="36">
        <f t="shared" ref="F4:F13" si="1">E4-B4</f>
        <v>1.6337025214062717E-2</v>
      </c>
      <c r="G4" s="35">
        <f>INDEX('Costar - US Industrial'!$F$2:$F$28,MATCH(TEXT($A4,"0"),'Costar - US Industrial'!$A$2:$A$28,0))</f>
        <v>5.2253933059267697E-2</v>
      </c>
      <c r="H4" s="35">
        <f>INDEX('Costar - US Industrial'!$I$2:$I$28,MATCH(TEXT($A4,"0"),'Costar - US Industrial'!$A$2:$A$28,0))</f>
        <v>5.4470517273195899E-2</v>
      </c>
      <c r="I4" s="35">
        <f>INDEX('Costar - US Industrial'!$C$2:$C$28,MATCH(TEXT($A4,"0"),'Costar - US Industrial'!$A$2:$A$28,0))/INDEX('Costar - US Industrial'!$B$2:$B$28,MATCH(TEXT($A4,"0"),'Costar - US Industrial'!$A$2:$A$28,0))</f>
        <v>1.105087504347458E-2</v>
      </c>
      <c r="J4" s="25">
        <f>INDEX(Composite!$AB$8:$AB$17,MATCH($A4,Composite!$A$8:$A$17,0))</f>
        <v>15.048247634848762</v>
      </c>
      <c r="K4" s="25">
        <f>INDEX(Composite!$AC$8:$AC$17,MATCH($A4,Composite!$A$8:$A$17,0))</f>
        <v>12.078761429051932</v>
      </c>
      <c r="L4" s="5">
        <f>INDEX(Composite!$B$8:$B$17,MATCH($A4,Composite!$A$8:$A$17,0))</f>
        <v>220.040897295609</v>
      </c>
      <c r="M4" s="5">
        <f>INDEX(Composite!$Q$8:$Q$17,MATCH($A4,Composite!$A$8:$A$17,0))</f>
        <v>3311.2299122986474</v>
      </c>
      <c r="N4" s="5">
        <f>INDEX(Composite!$D$8:$D$17,MATCH($A4,Composite!$A$8:$A$17,0))</f>
        <v>172.88266068798492</v>
      </c>
      <c r="O4" s="5">
        <f>INDEX(Composite!$K$8:$K$17,MATCH($A4,Composite!$A$8:$A$17,0))</f>
        <v>2088.208413669905</v>
      </c>
      <c r="P4" s="24">
        <f>INDEX('Prime Rate'!$B$2:$B$11,MATCH($A4,'Prime Rate'!$A$2:$A$11,0))/100</f>
        <v>3.5099999999999999E-2</v>
      </c>
      <c r="Q4" s="5">
        <f t="shared" ref="Q4:Q13" si="2">M4-L4</f>
        <v>3091.1890150030385</v>
      </c>
      <c r="R4" s="5">
        <f t="shared" ref="R4:R13" si="3">O4-N4</f>
        <v>1915.32575298192</v>
      </c>
      <c r="S4" s="31">
        <f>INDEX(Inflation!$G$4:$G$19,MATCH($A4,Inflation!$A$4:$A$19,0))</f>
        <v>1.2670779149543066E-2</v>
      </c>
      <c r="T4" s="24">
        <f>INDEX('Green Street National'!$D$4:$D$18,MATCH($A4,'Green Street National'!$A$4:$A$18,0))</f>
        <v>5.8150930000000003E-2</v>
      </c>
      <c r="U4" s="37">
        <f>INDEX('Green Street National'!$F$4:$F$18,MATCH($A4,'Green Street National'!$A$4:$A$18,0))</f>
        <v>100</v>
      </c>
      <c r="V4" s="37">
        <f>INDEX(Inflation!$D$4:$D$19,MATCH($A4,Inflation!$A$4:$A$19,0))</f>
        <v>100</v>
      </c>
      <c r="W4" s="37">
        <f>INDEX(Inflation!$E$4:$E$19,MATCH($A4,Inflation!$A$4:$A$19,0))</f>
        <v>100</v>
      </c>
      <c r="X4" s="37">
        <f>INDEX('Costar - US Industrial'!$H$2:$H$28,MATCH(TEXT($A4,"0"),'Costar - US Industrial'!$A$2:$A$28,0))/'Costar - US Industrial'!$H$18*100</f>
        <v>100</v>
      </c>
      <c r="Y4" s="31">
        <f>INDEX('Green Street National'!$C$4:$C$18,MATCH($A4,'Green Street National'!$A$4:$A$18,0))</f>
        <v>6.7850380000000002E-2</v>
      </c>
      <c r="Z4" s="31">
        <f>INDEX('Costar - US Industrial'!$F$2:$F$28,MATCH(TEXT($A4-1,"0"),'Costar - US Industrial'!$A$2:$A$28,0))-INDEX('Costar - US Industrial'!$F$2:$F$28,MATCH(TEXT($A4,"0"),'Costar - US Industrial'!$A$2:$A$28,0))</f>
        <v>6.7741451500690011E-3</v>
      </c>
      <c r="AA4" s="38">
        <f>INDEX('Costar - US Industrial'!$H$2:$H$28,MATCH(TEXT($A4,"0"),'Costar - US Industrial'!$A$2:$A$28,0))</f>
        <v>7.2084040180553197</v>
      </c>
      <c r="AB4" s="31">
        <f>1-INDEX('Costar - US Industrial'!$F$2:$F$28,MATCH(TEXT($A4,"0"),'Costar - US Industrial'!$A$2:$A$28,0))</f>
        <v>0.94774606694073227</v>
      </c>
      <c r="AC4">
        <v>100</v>
      </c>
      <c r="AE4" s="39" t="str">
        <f>""</f>
        <v/>
      </c>
      <c r="AF4" s="39" t="str">
        <f>""</f>
        <v/>
      </c>
    </row>
    <row r="5" spans="1:32" ht="15" customHeight="1" x14ac:dyDescent="0.25">
      <c r="A5">
        <v>2017</v>
      </c>
      <c r="B5" s="35">
        <f>INDEX(Composite!$Z$8:$Z$17,MATCH($A5,Composite!$A$8:$A$17,0))</f>
        <v>6.2572410302553019E-2</v>
      </c>
      <c r="C5" s="35">
        <f>INDEX(Composite!$Y$8:$Y$17,MATCH($A5,Composite!$A$8:$A$17,0))</f>
        <v>2.4E-2</v>
      </c>
      <c r="D5" s="36">
        <f t="shared" si="0"/>
        <v>3.8572410302553019E-2</v>
      </c>
      <c r="E5" s="35">
        <f>INDEX(Composite!$AA$8:$AA$17,MATCH($A5,Composite!$A$8:$A$17,0))</f>
        <v>7.4920714008166314E-2</v>
      </c>
      <c r="F5" s="36">
        <f t="shared" si="1"/>
        <v>1.2348303705613295E-2</v>
      </c>
      <c r="G5" s="35">
        <f>INDEX('Costar - US Industrial'!$F$2:$F$28,MATCH(TEXT($A5,"0"),'Costar - US Industrial'!$A$2:$A$28,0))</f>
        <v>4.9649774370652398E-2</v>
      </c>
      <c r="H5" s="35">
        <f>INDEX('Costar - US Industrial'!$I$2:$I$28,MATCH(TEXT($A5,"0"),'Costar - US Industrial'!$A$2:$A$28,0))</f>
        <v>5.72098544479408E-2</v>
      </c>
      <c r="I5" s="35">
        <f>INDEX('Costar - US Industrial'!$C$2:$C$28,MATCH(TEXT($A5,"0"),'Costar - US Industrial'!$A$2:$A$28,0))/INDEX('Costar - US Industrial'!$B$2:$B$28,MATCH(TEXT($A5,"0"),'Costar - US Industrial'!$A$2:$A$28,0))</f>
        <v>1.3345345205154608E-2</v>
      </c>
      <c r="J5" s="25">
        <f>INDEX(Composite!$AB$8:$AB$17,MATCH($A5,Composite!$A$8:$A$17,0))</f>
        <v>15.981484414053313</v>
      </c>
      <c r="K5" s="25">
        <f>INDEX(Composite!$AC$8:$AC$17,MATCH($A5,Composite!$A$8:$A$17,0))</f>
        <v>13.347443537324011</v>
      </c>
      <c r="L5" s="5">
        <f>INDEX(Composite!$B$8:$B$17,MATCH($A5,Composite!$A$8:$A$17,0))</f>
        <v>242.51223719954487</v>
      </c>
      <c r="M5" s="5">
        <f>INDEX(Composite!$Q$8:$Q$17,MATCH($A5,Composite!$A$8:$A$17,0))</f>
        <v>3875.7055390217265</v>
      </c>
      <c r="N5" s="5">
        <f>INDEX(Composite!$D$8:$D$17,MATCH($A5,Composite!$A$8:$A$17,0))</f>
        <v>197.05836304441073</v>
      </c>
      <c r="O5" s="5">
        <f>INDEX(Composite!$K$8:$K$17,MATCH($A5,Composite!$A$8:$A$17,0))</f>
        <v>2630.2253742927687</v>
      </c>
      <c r="P5" s="24">
        <f>INDEX('Prime Rate'!$B$2:$B$11,MATCH($A5,'Prime Rate'!$A$2:$A$11,0))/100</f>
        <v>4.0999999999999995E-2</v>
      </c>
      <c r="Q5" s="5">
        <f t="shared" si="2"/>
        <v>3633.1933018221816</v>
      </c>
      <c r="R5" s="5">
        <f t="shared" si="3"/>
        <v>2433.167011248358</v>
      </c>
      <c r="S5" s="31">
        <f>INDEX(Inflation!$G$4:$G$19,MATCH($A5,Inflation!$A$4:$A$19,0))</f>
        <v>2.1316222578696253E-2</v>
      </c>
      <c r="T5" s="24">
        <f>INDEX('Green Street National'!$D$4:$D$18,MATCH($A5,'Green Street National'!$A$4:$A$18,0))</f>
        <v>5.5684129999999998E-2</v>
      </c>
      <c r="U5" s="37">
        <f>INDEX('Green Street National'!$F$4:$F$18,MATCH($A5,'Green Street National'!$A$4:$A$18,0))</f>
        <v>109.44425857524243</v>
      </c>
      <c r="V5" s="37">
        <f>INDEX(Inflation!$D$4:$D$19,MATCH($A5,Inflation!$A$4:$A$19,0))</f>
        <v>102.1961670162606</v>
      </c>
      <c r="W5" s="37">
        <f>INDEX(Inflation!$E$4:$E$19,MATCH($A5,Inflation!$A$4:$A$19,0))</f>
        <v>102.13162225786962</v>
      </c>
      <c r="X5" s="37">
        <f>INDEX('Costar - US Industrial'!$H$2:$H$28,MATCH(TEXT($A5,"0"),'Costar - US Industrial'!$A$2:$A$28,0))/'Costar - US Industrial'!$H$18*100</f>
        <v>105.72098544479414</v>
      </c>
      <c r="Y5" s="31">
        <f>INDEX('Green Street National'!$C$4:$C$18,MATCH($A5,'Green Street National'!$A$4:$A$18,0))</f>
        <v>5.6166010000000002E-2</v>
      </c>
      <c r="Z5" s="31">
        <f>INDEX('Costar - US Industrial'!$F$2:$F$28,MATCH(TEXT($A5-1,"0"),'Costar - US Industrial'!$A$2:$A$28,0))-INDEX('Costar - US Industrial'!$F$2:$F$28,MATCH(TEXT($A5,"0"),'Costar - US Industrial'!$A$2:$A$28,0))</f>
        <v>2.604158688615299E-3</v>
      </c>
      <c r="AA5" s="38">
        <f>INDEX('Costar - US Industrial'!$H$2:$H$28,MATCH(TEXT($A5,"0"),'Costar - US Industrial'!$A$2:$A$28,0))</f>
        <v>7.6207957627302196</v>
      </c>
      <c r="AB5" s="31">
        <f>1-INDEX('Costar - US Industrial'!$F$2:$F$28,MATCH(TEXT($A5,"0"),'Costar - US Industrial'!$A$2:$A$28,0))</f>
        <v>0.95035022562934757</v>
      </c>
      <c r="AC5">
        <f t="shared" ref="AC5:AC13" si="4">AC4*(1+Y5)</f>
        <v>105.616601</v>
      </c>
      <c r="AE5" s="39" t="str">
        <f t="shared" ref="AE5:AE13" si="5">IF(N(L4)=0,"",TEXT(L5/L4-1,"+0%;-0%"))</f>
        <v>+10%</v>
      </c>
      <c r="AF5" s="39" t="str">
        <f t="shared" ref="AF5:AF13" si="6">IF(N(N4)=0,"",TEXT(N5/N4-1,"+0%;-0%"))</f>
        <v>+14%</v>
      </c>
    </row>
    <row r="6" spans="1:32" ht="15" customHeight="1" x14ac:dyDescent="0.25">
      <c r="A6">
        <v>2018</v>
      </c>
      <c r="B6" s="35">
        <f>INDEX(Composite!$Z$8:$Z$17,MATCH($A6,Composite!$A$8:$A$17,0))</f>
        <v>6.5732572401857842E-2</v>
      </c>
      <c r="C6" s="35">
        <f>INDEX(Composite!$Y$8:$Y$17,MATCH($A6,Composite!$A$8:$A$17,0))</f>
        <v>2.69E-2</v>
      </c>
      <c r="D6" s="36">
        <f t="shared" si="0"/>
        <v>3.8832572401857841E-2</v>
      </c>
      <c r="E6" s="35">
        <f>INDEX(Composite!$AA$8:$AA$17,MATCH($A6,Composite!$A$8:$A$17,0))</f>
        <v>8.1406731655994449E-2</v>
      </c>
      <c r="F6" s="36">
        <f t="shared" si="1"/>
        <v>1.5674159254136608E-2</v>
      </c>
      <c r="G6" s="35">
        <f>INDEX('Costar - US Industrial'!$F$2:$F$28,MATCH(TEXT($A6,"0"),'Costar - US Industrial'!$A$2:$A$28,0))</f>
        <v>4.6766791152018601E-2</v>
      </c>
      <c r="H6" s="35">
        <f>INDEX('Costar - US Industrial'!$I$2:$I$28,MATCH(TEXT($A6,"0"),'Costar - US Industrial'!$A$2:$A$28,0))</f>
        <v>5.7435897247827598E-2</v>
      </c>
      <c r="I6" s="35">
        <f>INDEX('Costar - US Industrial'!$C$2:$C$28,MATCH(TEXT($A6,"0"),'Costar - US Industrial'!$A$2:$A$28,0))/INDEX('Costar - US Industrial'!$B$2:$B$28,MATCH(TEXT($A6,"0"),'Costar - US Industrial'!$A$2:$A$28,0))</f>
        <v>1.3501732485549263E-2</v>
      </c>
      <c r="J6" s="25">
        <f>INDEX(Composite!$AB$8:$AB$17,MATCH($A6,Composite!$A$8:$A$17,0))</f>
        <v>15.213157852494698</v>
      </c>
      <c r="K6" s="25">
        <f>INDEX(Composite!$AC$8:$AC$17,MATCH($A6,Composite!$A$8:$A$17,0))</f>
        <v>12.28399641722214</v>
      </c>
      <c r="L6" s="5">
        <f>INDEX(Composite!$B$8:$B$17,MATCH($A6,Composite!$A$8:$A$17,0))</f>
        <v>261.80505663995257</v>
      </c>
      <c r="M6" s="5">
        <f>INDEX(Composite!$Q$8:$Q$17,MATCH($A6,Composite!$A$8:$A$17,0))</f>
        <v>3982.8816532449137</v>
      </c>
      <c r="N6" s="5">
        <f>INDEX(Composite!$D$8:$D$17,MATCH($A6,Composite!$A$8:$A$17,0))</f>
        <v>216.67839551296566</v>
      </c>
      <c r="O6" s="5">
        <f>INDEX(Composite!$K$8:$K$17,MATCH($A6,Composite!$A$8:$A$17,0))</f>
        <v>2661.6766341707121</v>
      </c>
      <c r="P6" s="24">
        <f>INDEX('Prime Rate'!$B$2:$B$11,MATCH($A6,'Prime Rate'!$A$2:$A$11,0))/100</f>
        <v>4.9000000000000002E-2</v>
      </c>
      <c r="Q6" s="5">
        <f t="shared" si="2"/>
        <v>3721.0765966049612</v>
      </c>
      <c r="R6" s="5">
        <f t="shared" si="3"/>
        <v>2444.9982386577462</v>
      </c>
      <c r="S6" s="31">
        <f>INDEX(Inflation!$G$4:$G$19,MATCH($A6,Inflation!$A$4:$A$19,0))</f>
        <v>2.4392034954165531E-2</v>
      </c>
      <c r="T6" s="24">
        <f>INDEX('Green Street National'!$D$4:$D$18,MATCH($A6,'Green Street National'!$A$4:$A$18,0))</f>
        <v>5.391642E-2</v>
      </c>
      <c r="U6" s="37">
        <f>INDEX('Green Street National'!$F$4:$F$18,MATCH($A6,'Green Street National'!$A$4:$A$18,0))</f>
        <v>121.46241901260227</v>
      </c>
      <c r="V6" s="37">
        <f>INDEX(Inflation!$D$4:$D$19,MATCH($A6,Inflation!$A$4:$A$19,0))</f>
        <v>106.49169042112622</v>
      </c>
      <c r="W6" s="37">
        <f>INDEX(Inflation!$E$4:$E$19,MATCH($A6,Inflation!$A$4:$A$19,0))</f>
        <v>104.62282035790922</v>
      </c>
      <c r="X6" s="37">
        <f>INDEX('Costar - US Industrial'!$H$2:$H$28,MATCH(TEXT($A6,"0"),'Costar - US Industrial'!$A$2:$A$28,0))/'Costar - US Industrial'!$H$18*100</f>
        <v>111.79316510174037</v>
      </c>
      <c r="Y6" s="31">
        <f>INDEX('Green Street National'!$C$4:$C$18,MATCH($A6,'Green Street National'!$A$4:$A$18,0))</f>
        <v>5.4186060000000001E-2</v>
      </c>
      <c r="Z6" s="31">
        <f>INDEX('Costar - US Industrial'!$F$2:$F$28,MATCH(TEXT($A6-1,"0"),'Costar - US Industrial'!$A$2:$A$28,0))-INDEX('Costar - US Industrial'!$F$2:$F$28,MATCH(TEXT($A6,"0"),'Costar - US Industrial'!$A$2:$A$28,0))</f>
        <v>2.8829832186337973E-3</v>
      </c>
      <c r="AA6" s="38">
        <f>INDEX('Costar - US Industrial'!$H$2:$H$28,MATCH(TEXT($A6,"0"),'Costar - US Industrial'!$A$2:$A$28,0))</f>
        <v>8.0585030051050701</v>
      </c>
      <c r="AB6" s="31">
        <f>1-INDEX('Costar - US Industrial'!$F$2:$F$28,MATCH(TEXT($A6,"0"),'Costar - US Industrial'!$A$2:$A$28,0))</f>
        <v>0.95323320884798135</v>
      </c>
      <c r="AC6">
        <f t="shared" si="4"/>
        <v>111.33954847878205</v>
      </c>
      <c r="AE6" s="39" t="str">
        <f t="shared" si="5"/>
        <v>+8%</v>
      </c>
      <c r="AF6" s="39" t="str">
        <f t="shared" si="6"/>
        <v>+10%</v>
      </c>
    </row>
    <row r="7" spans="1:32" ht="15" customHeight="1" x14ac:dyDescent="0.25">
      <c r="A7">
        <v>2019</v>
      </c>
      <c r="B7" s="35">
        <f>INDEX(Composite!$Z$8:$Z$17,MATCH($A7,Composite!$A$8:$A$17,0))</f>
        <v>5.134791412451447E-2</v>
      </c>
      <c r="C7" s="35">
        <f>INDEX(Composite!$Y$8:$Y$17,MATCH($A7,Composite!$A$8:$A$17,0))</f>
        <v>1.9199999999999998E-2</v>
      </c>
      <c r="D7" s="36">
        <f t="shared" si="0"/>
        <v>3.2147914124514468E-2</v>
      </c>
      <c r="E7" s="35">
        <f>INDEX(Composite!$AA$8:$AA$17,MATCH($A7,Composite!$A$8:$A$17,0))</f>
        <v>5.8083431639102671E-2</v>
      </c>
      <c r="F7" s="36">
        <f t="shared" si="1"/>
        <v>6.7355175145882018E-3</v>
      </c>
      <c r="G7" s="35">
        <f>INDEX('Costar - US Industrial'!$F$2:$F$28,MATCH(TEXT($A7,"0"),'Costar - US Industrial'!$A$2:$A$28,0))</f>
        <v>5.0732433845904E-2</v>
      </c>
      <c r="H7" s="35">
        <f>INDEX('Costar - US Industrial'!$I$2:$I$28,MATCH(TEXT($A7,"0"),'Costar - US Industrial'!$A$2:$A$28,0))</f>
        <v>5.6740707446471E-2</v>
      </c>
      <c r="I7" s="35">
        <f>INDEX('Costar - US Industrial'!$C$2:$C$28,MATCH(TEXT($A7,"0"),'Costar - US Industrial'!$A$2:$A$28,0))/INDEX('Costar - US Industrial'!$B$2:$B$28,MATCH(TEXT($A7,"0"),'Costar - US Industrial'!$A$2:$A$28,0))</f>
        <v>1.520156978501716E-2</v>
      </c>
      <c r="J7" s="25">
        <f>INDEX(Composite!$AB$8:$AB$17,MATCH($A7,Composite!$A$8:$A$17,0))</f>
        <v>19.474987777986119</v>
      </c>
      <c r="K7" s="25">
        <f>INDEX(Composite!$AC$8:$AC$17,MATCH($A7,Composite!$A$8:$A$17,0))</f>
        <v>17.216613615625018</v>
      </c>
      <c r="L7" s="5">
        <f>INDEX(Composite!$B$8:$B$17,MATCH($A7,Composite!$A$8:$A$17,0))</f>
        <v>294.05084777518709</v>
      </c>
      <c r="M7" s="5">
        <f>INDEX(Composite!$Q$8:$Q$17,MATCH($A7,Composite!$A$8:$A$17,0))</f>
        <v>5726.6366665282249</v>
      </c>
      <c r="N7" s="5">
        <f>INDEX(Composite!$D$8:$D$17,MATCH($A7,Composite!$A$8:$A$17,0))</f>
        <v>247.32155690543013</v>
      </c>
      <c r="O7" s="5">
        <f>INDEX(Composite!$K$8:$K$17,MATCH($A7,Composite!$A$8:$A$17,0))</f>
        <v>4258.0396840556059</v>
      </c>
      <c r="P7" s="24">
        <f>INDEX('Prime Rate'!$B$2:$B$11,MATCH($A7,'Prime Rate'!$A$2:$A$11,0))/100</f>
        <v>5.28E-2</v>
      </c>
      <c r="Q7" s="5">
        <f t="shared" si="2"/>
        <v>5432.5858187530375</v>
      </c>
      <c r="R7" s="5">
        <f t="shared" si="3"/>
        <v>4010.7181271501759</v>
      </c>
      <c r="S7" s="31">
        <f>INDEX(Inflation!$G$4:$G$19,MATCH($A7,Inflation!$A$4:$A$19,0))</f>
        <v>1.8132218239745201E-2</v>
      </c>
      <c r="T7" s="24">
        <f>INDEX('Green Street National'!$D$4:$D$18,MATCH($A7,'Green Street National'!$A$4:$A$18,0))</f>
        <v>5.0796620000000001E-2</v>
      </c>
      <c r="U7" s="37">
        <f>INDEX('Green Street National'!$F$4:$F$18,MATCH($A7,'Green Street National'!$A$4:$A$18,0))</f>
        <v>137.28576583568642</v>
      </c>
      <c r="V7" s="37">
        <f>INDEX(Inflation!$D$4:$D$19,MATCH($A7,Inflation!$A$4:$A$19,0))</f>
        <v>111.95252693666073</v>
      </c>
      <c r="W7" s="37">
        <f>INDEX(Inflation!$E$4:$E$19,MATCH($A7,Inflation!$A$4:$A$19,0))</f>
        <v>106.51986416949646</v>
      </c>
      <c r="X7" s="37">
        <f>INDEX('Costar - US Industrial'!$H$2:$H$28,MATCH(TEXT($A7,"0"),'Costar - US Industrial'!$A$2:$A$28,0))/'Costar - US Industrial'!$H$18*100</f>
        <v>118.13638837729331</v>
      </c>
      <c r="Y7" s="31">
        <f>INDEX('Green Street National'!$C$4:$C$18,MATCH($A7,'Green Street National'!$A$4:$A$18,0))</f>
        <v>5.6557040000000003E-2</v>
      </c>
      <c r="Z7" s="31">
        <f>INDEX('Costar - US Industrial'!$F$2:$F$28,MATCH(TEXT($A7-1,"0"),'Costar - US Industrial'!$A$2:$A$28,0))-INDEX('Costar - US Industrial'!$F$2:$F$28,MATCH(TEXT($A7,"0"),'Costar - US Industrial'!$A$2:$A$28,0))</f>
        <v>-3.9656426938853989E-3</v>
      </c>
      <c r="AA7" s="38">
        <f>INDEX('Costar - US Industrial'!$H$2:$H$28,MATCH(TEXT($A7,"0"),'Costar - US Industrial'!$A$2:$A$28,0))</f>
        <v>8.5157481665742498</v>
      </c>
      <c r="AB7" s="31">
        <f>1-INDEX('Costar - US Industrial'!$F$2:$F$28,MATCH(TEXT($A7,"0"),'Costar - US Industrial'!$A$2:$A$28,0))</f>
        <v>0.94926756615409602</v>
      </c>
      <c r="AC7">
        <f t="shared" si="4"/>
        <v>117.63658377567846</v>
      </c>
      <c r="AE7" s="39" t="str">
        <f t="shared" si="5"/>
        <v>+12%</v>
      </c>
      <c r="AF7" s="39" t="str">
        <f t="shared" si="6"/>
        <v>+14%</v>
      </c>
    </row>
    <row r="8" spans="1:32" ht="15" customHeight="1" x14ac:dyDescent="0.25">
      <c r="A8">
        <v>2020</v>
      </c>
      <c r="B8" s="35">
        <f>INDEX(Composite!$Z$8:$Z$17,MATCH($A8,Composite!$A$8:$A$17,0))</f>
        <v>5.410903683501004E-2</v>
      </c>
      <c r="C8" s="35">
        <f>INDEX(Composite!$Y$8:$Y$17,MATCH($A8,Composite!$A$8:$A$17,0))</f>
        <v>9.300000000000001E-3</v>
      </c>
      <c r="D8" s="36">
        <f t="shared" si="0"/>
        <v>4.4809036835010037E-2</v>
      </c>
      <c r="E8" s="35">
        <f>INDEX(Composite!$AA$8:$AA$17,MATCH($A8,Composite!$A$8:$A$17,0))</f>
        <v>6.1916005947368263E-2</v>
      </c>
      <c r="F8" s="36">
        <f t="shared" si="1"/>
        <v>7.8069691123582238E-3</v>
      </c>
      <c r="G8" s="35">
        <f>INDEX('Costar - US Industrial'!$F$2:$F$28,MATCH(TEXT($A8,"0"),'Costar - US Industrial'!$A$2:$A$28,0))</f>
        <v>5.45368241986533E-2</v>
      </c>
      <c r="H8" s="35">
        <f>INDEX('Costar - US Industrial'!$I$2:$I$28,MATCH(TEXT($A8,"0"),'Costar - US Industrial'!$A$2:$A$28,0))</f>
        <v>5.83307173327988E-2</v>
      </c>
      <c r="I8" s="35">
        <f>INDEX('Costar - US Industrial'!$C$2:$C$28,MATCH(TEXT($A8,"0"),'Costar - US Industrial'!$A$2:$A$28,0))/INDEX('Costar - US Industrial'!$B$2:$B$28,MATCH(TEXT($A8,"0"),'Costar - US Industrial'!$A$2:$A$28,0))</f>
        <v>1.6861498232482647E-2</v>
      </c>
      <c r="J8" s="25">
        <f>INDEX(Composite!$AB$8:$AB$17,MATCH($A8,Composite!$A$8:$A$17,0))</f>
        <v>18.481201264942356</v>
      </c>
      <c r="K8" s="25">
        <f>INDEX(Composite!$AC$8:$AC$17,MATCH($A8,Composite!$A$8:$A$17,0))</f>
        <v>16.1509125903575</v>
      </c>
      <c r="L8" s="5">
        <f>INDEX(Composite!$B$8:$B$17,MATCH($A8,Composite!$A$8:$A$17,0))</f>
        <v>329.12111813183537</v>
      </c>
      <c r="M8" s="5">
        <f>INDEX(Composite!$Q$8:$Q$17,MATCH($A8,Composite!$A$8:$A$17,0))</f>
        <v>6082.5536247373184</v>
      </c>
      <c r="N8" s="5">
        <f>INDEX(Composite!$D$8:$D$17,MATCH($A8,Composite!$A$8:$A$17,0))</f>
        <v>279.63922124434595</v>
      </c>
      <c r="O8" s="5">
        <f>INDEX(Composite!$K$8:$K$17,MATCH($A8,Composite!$A$8:$A$17,0))</f>
        <v>4516.4286191530737</v>
      </c>
      <c r="P8" s="24">
        <f>INDEX('Prime Rate'!$B$2:$B$11,MATCH($A8,'Prime Rate'!$A$2:$A$11,0))/100</f>
        <v>3.5400000000000001E-2</v>
      </c>
      <c r="Q8" s="5">
        <f t="shared" si="2"/>
        <v>5753.4325066054826</v>
      </c>
      <c r="R8" s="5">
        <f t="shared" si="3"/>
        <v>4236.7893979087276</v>
      </c>
      <c r="S8" s="31">
        <f>INDEX(Inflation!$G$4:$G$19,MATCH($A8,Inflation!$A$4:$A$19,0))</f>
        <v>1.2528701012700871E-2</v>
      </c>
      <c r="T8" s="24">
        <f>INDEX('Green Street National'!$D$4:$D$18,MATCH($A8,'Green Street National'!$A$4:$A$18,0))</f>
        <v>4.8337989999999997E-2</v>
      </c>
      <c r="U8" s="37">
        <f>INDEX('Green Street National'!$F$4:$F$18,MATCH($A8,'Green Street National'!$A$4:$A$18,0))</f>
        <v>147.54207586613023</v>
      </c>
      <c r="V8" s="37">
        <f>INDEX(Inflation!$D$4:$D$19,MATCH($A8,Inflation!$A$4:$A$19,0))</f>
        <v>114.71611179834704</v>
      </c>
      <c r="W8" s="37">
        <f>INDEX(Inflation!$E$4:$E$19,MATCH($A8,Inflation!$A$4:$A$19,0))</f>
        <v>107.8544196995896</v>
      </c>
      <c r="X8" s="37">
        <f>INDEX('Costar - US Industrial'!$H$2:$H$28,MATCH(TEXT($A8,"0"),'Costar - US Industrial'!$A$2:$A$28,0))/'Costar - US Industrial'!$H$18*100</f>
        <v>125.02736865444692</v>
      </c>
      <c r="Y8" s="31">
        <f>INDEX('Green Street National'!$C$4:$C$18,MATCH($A8,'Green Street National'!$A$4:$A$18,0))</f>
        <v>3.1253759999999998E-2</v>
      </c>
      <c r="Z8" s="31">
        <f>INDEX('Costar - US Industrial'!$F$2:$F$28,MATCH(TEXT($A8-1,"0"),'Costar - US Industrial'!$A$2:$A$28,0))-INDEX('Costar - US Industrial'!$F$2:$F$28,MATCH(TEXT($A8,"0"),'Costar - US Industrial'!$A$2:$A$28,0))</f>
        <v>-3.8043903527492998E-3</v>
      </c>
      <c r="AA8" s="38">
        <f>INDEX('Costar - US Industrial'!$H$2:$H$28,MATCH(TEXT($A8,"0"),'Costar - US Industrial'!$A$2:$A$28,0))</f>
        <v>9.0124778657559901</v>
      </c>
      <c r="AB8" s="31">
        <f>1-INDEX('Costar - US Industrial'!$F$2:$F$28,MATCH(TEXT($A8,"0"),'Costar - US Industrial'!$A$2:$A$28,0))</f>
        <v>0.94546317580134676</v>
      </c>
      <c r="AC8">
        <f t="shared" si="4"/>
        <v>121.31316933222341</v>
      </c>
      <c r="AE8" s="39" t="str">
        <f t="shared" si="5"/>
        <v>+12%</v>
      </c>
      <c r="AF8" s="39" t="str">
        <f t="shared" si="6"/>
        <v>+13%</v>
      </c>
    </row>
    <row r="9" spans="1:32" ht="15" customHeight="1" x14ac:dyDescent="0.25">
      <c r="A9">
        <v>2021</v>
      </c>
      <c r="B9" s="35">
        <f>INDEX(Composite!$Z$8:$Z$17,MATCH($A9,Composite!$A$8:$A$17,0))</f>
        <v>3.7863172908662229E-2</v>
      </c>
      <c r="C9" s="35">
        <f>INDEX(Composite!$Y$8:$Y$17,MATCH($A9,Composite!$A$8:$A$17,0))</f>
        <v>1.52E-2</v>
      </c>
      <c r="D9" s="36">
        <f t="shared" si="0"/>
        <v>2.2663172908662231E-2</v>
      </c>
      <c r="E9" s="35">
        <f>INDEX(Composite!$AA$8:$AA$17,MATCH($A9,Composite!$A$8:$A$17,0))</f>
        <v>4.0376913381927455E-2</v>
      </c>
      <c r="F9" s="36">
        <f t="shared" si="1"/>
        <v>2.513740473265226E-3</v>
      </c>
      <c r="G9" s="35">
        <f>INDEX('Costar - US Industrial'!$F$2:$F$28,MATCH(TEXT($A9,"0"),'Costar - US Industrial'!$A$2:$A$28,0))</f>
        <v>4.13794988938916E-2</v>
      </c>
      <c r="H9" s="35">
        <f>INDEX('Costar - US Industrial'!$I$2:$I$28,MATCH(TEXT($A9,"0"),'Costar - US Industrial'!$A$2:$A$28,0))</f>
        <v>8.2679531974610906E-2</v>
      </c>
      <c r="I9" s="35">
        <f>INDEX('Costar - US Industrial'!$C$2:$C$28,MATCH(TEXT($A9,"0"),'Costar - US Industrial'!$A$2:$A$28,0))/INDEX('Costar - US Industrial'!$B$2:$B$28,MATCH(TEXT($A9,"0"),'Costar - US Industrial'!$A$2:$A$28,0))</f>
        <v>1.6772812695764656E-2</v>
      </c>
      <c r="J9" s="25">
        <f>INDEX(Composite!$AB$8:$AB$17,MATCH($A9,Composite!$A$8:$A$17,0))</f>
        <v>26.410887497788725</v>
      </c>
      <c r="K9" s="25">
        <f>INDEX(Composite!$AC$8:$AC$17,MATCH($A9,Composite!$A$8:$A$17,0))</f>
        <v>24.766628160526903</v>
      </c>
      <c r="L9" s="5">
        <f>INDEX(Composite!$B$8:$B$17,MATCH($A9,Composite!$A$8:$A$17,0))</f>
        <v>366.81705929992688</v>
      </c>
      <c r="M9" s="5">
        <f>INDEX(Composite!$Q$8:$Q$17,MATCH($A9,Composite!$A$8:$A$17,0))</f>
        <v>9687.9640854400641</v>
      </c>
      <c r="N9" s="5">
        <f>INDEX(Composite!$D$8:$D$17,MATCH($A9,Composite!$A$8:$A$17,0))</f>
        <v>319.62689009589428</v>
      </c>
      <c r="O9" s="5">
        <f>INDEX(Composite!$K$8:$K$17,MATCH($A9,Composite!$A$8:$A$17,0))</f>
        <v>7916.0803371106122</v>
      </c>
      <c r="P9" s="24">
        <f>INDEX('Prime Rate'!$B$2:$B$11,MATCH($A9,'Prime Rate'!$A$2:$A$11,0))/100</f>
        <v>3.2500000000000001E-2</v>
      </c>
      <c r="Q9" s="5">
        <f t="shared" si="2"/>
        <v>9321.1470261401373</v>
      </c>
      <c r="R9" s="5">
        <f t="shared" si="3"/>
        <v>7596.4534470147182</v>
      </c>
      <c r="S9" s="31">
        <f>INDEX(Inflation!$G$4:$G$19,MATCH($A9,Inflation!$A$4:$A$19,0))</f>
        <v>4.6809809314831474E-2</v>
      </c>
      <c r="T9" s="24">
        <f>INDEX('Green Street National'!$D$4:$D$18,MATCH($A9,'Green Street National'!$A$4:$A$18,0))</f>
        <v>3.7766719999999997E-2</v>
      </c>
      <c r="U9" s="37">
        <f>INDEX('Green Street National'!$F$4:$F$18,MATCH($A9,'Green Street National'!$A$4:$A$18,0))</f>
        <v>208.42060661993727</v>
      </c>
      <c r="V9" s="37">
        <f>INDEX(Inflation!$D$4:$D$19,MATCH($A9,Inflation!$A$4:$A$19,0))</f>
        <v>120.67175818856559</v>
      </c>
      <c r="W9" s="37">
        <f>INDEX(Inflation!$E$4:$E$19,MATCH($A9,Inflation!$A$4:$A$19,0))</f>
        <v>112.90306451948919</v>
      </c>
      <c r="X9" s="37">
        <f>INDEX('Costar - US Industrial'!$H$2:$H$28,MATCH(TEXT($A9,"0"),'Costar - US Industrial'!$A$2:$A$28,0))/'Costar - US Industrial'!$H$18*100</f>
        <v>135.36457297881367</v>
      </c>
      <c r="Y9" s="31">
        <f>INDEX('Green Street National'!$C$4:$C$18,MATCH($A9,'Green Street National'!$A$4:$A$18,0))</f>
        <v>0.18159117</v>
      </c>
      <c r="Z9" s="31">
        <f>INDEX('Costar - US Industrial'!$F$2:$F$28,MATCH(TEXT($A9-1,"0"),'Costar - US Industrial'!$A$2:$A$28,0))-INDEX('Costar - US Industrial'!$F$2:$F$28,MATCH(TEXT($A9,"0"),'Costar - US Industrial'!$A$2:$A$28,0))</f>
        <v>1.3157325304761699E-2</v>
      </c>
      <c r="AA9" s="38">
        <f>INDEX('Costar - US Industrial'!$H$2:$H$28,MATCH(TEXT($A9,"0"),'Costar - US Industrial'!$A$2:$A$28,0))</f>
        <v>9.7576253176282304</v>
      </c>
      <c r="AB9" s="31">
        <f>1-INDEX('Costar - US Industrial'!$F$2:$F$28,MATCH(TEXT($A9,"0"),'Costar - US Industrial'!$A$2:$A$28,0))</f>
        <v>0.95862050110610841</v>
      </c>
      <c r="AC9">
        <f t="shared" si="4"/>
        <v>143.34256968766996</v>
      </c>
      <c r="AE9" s="39" t="str">
        <f t="shared" si="5"/>
        <v>+11%</v>
      </c>
      <c r="AF9" s="39" t="str">
        <f t="shared" si="6"/>
        <v>+14%</v>
      </c>
    </row>
    <row r="10" spans="1:32" ht="15" customHeight="1" x14ac:dyDescent="0.25">
      <c r="A10">
        <v>2022</v>
      </c>
      <c r="B10" s="35">
        <f>INDEX(Composite!$Z$8:$Z$17,MATCH($A10,Composite!$A$8:$A$17,0))</f>
        <v>6.0131724957770916E-2</v>
      </c>
      <c r="C10" s="35">
        <f>INDEX(Composite!$Y$8:$Y$17,MATCH($A10,Composite!$A$8:$A$17,0))</f>
        <v>3.8800000000000001E-2</v>
      </c>
      <c r="D10" s="36">
        <f t="shared" si="0"/>
        <v>2.1331724957770914E-2</v>
      </c>
      <c r="E10" s="35">
        <f>INDEX(Composite!$AA$8:$AA$17,MATCH($A10,Composite!$A$8:$A$17,0))</f>
        <v>7.4824825217735369E-2</v>
      </c>
      <c r="F10" s="36">
        <f t="shared" si="1"/>
        <v>1.4693100259964453E-2</v>
      </c>
      <c r="G10" s="35">
        <f>INDEX('Costar - US Industrial'!$F$2:$F$28,MATCH(TEXT($A10,"0"),'Costar - US Industrial'!$A$2:$A$28,0))</f>
        <v>3.9003142385786102E-2</v>
      </c>
      <c r="H10" s="35">
        <f>INDEX('Costar - US Industrial'!$I$2:$I$28,MATCH(TEXT($A10,"0"),'Costar - US Industrial'!$A$2:$A$28,0))</f>
        <v>0.100277448941721</v>
      </c>
      <c r="I10" s="35">
        <f>INDEX('Costar - US Industrial'!$C$2:$C$28,MATCH(TEXT($A10,"0"),'Costar - US Industrial'!$A$2:$A$28,0))/INDEX('Costar - US Industrial'!$B$2:$B$28,MATCH(TEXT($A10,"0"),'Costar - US Industrial'!$A$2:$A$28,0))</f>
        <v>2.1881852269300183E-2</v>
      </c>
      <c r="J10" s="25">
        <f>INDEX(Composite!$AB$8:$AB$17,MATCH($A10,Composite!$A$8:$A$17,0))</f>
        <v>16.630156555500051</v>
      </c>
      <c r="K10" s="25">
        <f>INDEX(Composite!$AC$8:$AC$17,MATCH($A10,Composite!$A$8:$A$17,0))</f>
        <v>13.36454842480507</v>
      </c>
      <c r="L10" s="5">
        <f>INDEX(Composite!$B$8:$B$17,MATCH($A10,Composite!$A$8:$A$17,0))</f>
        <v>430.6319914214626</v>
      </c>
      <c r="M10" s="5">
        <f>INDEX(Composite!$Q$8:$Q$17,MATCH($A10,Composite!$A$8:$A$17,0))</f>
        <v>7161.4774351456781</v>
      </c>
      <c r="N10" s="5">
        <f>INDEX(Composite!$D$8:$D$17,MATCH($A10,Composite!$A$8:$A$17,0))</f>
        <v>374.67712402627387</v>
      </c>
      <c r="O10" s="5">
        <f>INDEX(Composite!$K$8:$K$17,MATCH($A10,Composite!$A$8:$A$17,0))</f>
        <v>5007.3905677158327</v>
      </c>
      <c r="P10" s="24">
        <f>INDEX('Prime Rate'!$B$2:$B$11,MATCH($A10,'Prime Rate'!$A$2:$A$11,0))/100</f>
        <v>4.8499999999999995E-2</v>
      </c>
      <c r="Q10" s="5">
        <f t="shared" si="2"/>
        <v>6730.8454437242153</v>
      </c>
      <c r="R10" s="5">
        <f t="shared" si="3"/>
        <v>4632.7134436895585</v>
      </c>
      <c r="S10" s="31">
        <f>INDEX(Inflation!$G$4:$G$19,MATCH($A10,Inflation!$A$4:$A$19,0))</f>
        <v>7.9908330350256129E-2</v>
      </c>
      <c r="T10" s="24">
        <f>INDEX('Green Street National'!$D$4:$D$18,MATCH($A10,'Green Street National'!$A$4:$A$18,0))</f>
        <v>4.6492600000000002E-2</v>
      </c>
      <c r="U10" s="37">
        <f>INDEX('Green Street National'!$F$4:$F$18,MATCH($A10,'Green Street National'!$A$4:$A$18,0))</f>
        <v>173.4329975271215</v>
      </c>
      <c r="V10" s="37">
        <f>INDEX(Inflation!$D$4:$D$19,MATCH($A10,Inflation!$A$4:$A$19,0))</f>
        <v>144.71306405636528</v>
      </c>
      <c r="W10" s="37">
        <f>INDEX(Inflation!$E$4:$E$19,MATCH($A10,Inflation!$A$4:$A$19,0))</f>
        <v>121.92495989666881</v>
      </c>
      <c r="X10" s="37">
        <f>INDEX('Costar - US Industrial'!$H$2:$H$28,MATCH(TEXT($A10,"0"),'Costar - US Industrial'!$A$2:$A$28,0))/'Costar - US Industrial'!$H$18*100</f>
        <v>148.93858703421395</v>
      </c>
      <c r="Y10" s="31">
        <f>INDEX('Green Street National'!$C$4:$C$18,MATCH($A10,'Green Street National'!$A$4:$A$18,0))</f>
        <v>0.25601942999999999</v>
      </c>
      <c r="Z10" s="31">
        <f>INDEX('Costar - US Industrial'!$F$2:$F$28,MATCH(TEXT($A10-1,"0"),'Costar - US Industrial'!$A$2:$A$28,0))-INDEX('Costar - US Industrial'!$F$2:$F$28,MATCH(TEXT($A10,"0"),'Costar - US Industrial'!$A$2:$A$28,0))</f>
        <v>2.3763565081054983E-3</v>
      </c>
      <c r="AA10" s="38">
        <f>INDEX('Costar - US Industrial'!$H$2:$H$28,MATCH(TEXT($A10,"0"),'Costar - US Industrial'!$A$2:$A$28,0))</f>
        <v>10.7360950922091</v>
      </c>
      <c r="AB10" s="31">
        <f>1-INDEX('Costar - US Industrial'!$F$2:$F$28,MATCH(TEXT($A10,"0"),'Costar - US Industrial'!$A$2:$A$28,0))</f>
        <v>0.96099685761421394</v>
      </c>
      <c r="AC10">
        <f t="shared" si="4"/>
        <v>180.0410526738425</v>
      </c>
      <c r="AE10" s="39" t="str">
        <f t="shared" si="5"/>
        <v>+17%</v>
      </c>
      <c r="AF10" s="39" t="str">
        <f t="shared" si="6"/>
        <v>+17%</v>
      </c>
    </row>
    <row r="11" spans="1:32" ht="15" customHeight="1" x14ac:dyDescent="0.25">
      <c r="A11">
        <v>2023</v>
      </c>
      <c r="B11" s="35">
        <f>INDEX(Composite!$Z$8:$Z$17,MATCH($A11,Composite!$A$8:$A$17,0))</f>
        <v>5.5834741848105746E-2</v>
      </c>
      <c r="C11" s="35">
        <f>INDEX(Composite!$Y$8:$Y$17,MATCH($A11,Composite!$A$8:$A$17,0))</f>
        <v>3.8800000000000001E-2</v>
      </c>
      <c r="D11" s="36">
        <f t="shared" si="0"/>
        <v>1.7034741848105744E-2</v>
      </c>
      <c r="E11" s="35">
        <f>INDEX(Composite!$AA$8:$AA$17,MATCH($A11,Composite!$A$8:$A$17,0))</f>
        <v>6.35205843896397E-2</v>
      </c>
      <c r="F11" s="36">
        <f t="shared" si="1"/>
        <v>7.6858425415339549E-3</v>
      </c>
      <c r="G11" s="35">
        <f>INDEX('Costar - US Industrial'!$F$2:$F$28,MATCH(TEXT($A11,"0"),'Costar - US Industrial'!$A$2:$A$28,0))</f>
        <v>5.6521739316558198E-2</v>
      </c>
      <c r="H11" s="35">
        <f>INDEX('Costar - US Industrial'!$I$2:$I$28,MATCH(TEXT($A11,"0"),'Costar - US Industrial'!$A$2:$A$28,0))</f>
        <v>7.1323482103282002E-2</v>
      </c>
      <c r="I11" s="35">
        <f>INDEX('Costar - US Industrial'!$C$2:$C$28,MATCH(TEXT($A11,"0"),'Costar - US Industrial'!$A$2:$A$28,0))/INDEX('Costar - US Industrial'!$B$2:$B$28,MATCH(TEXT($A11,"0"),'Costar - US Industrial'!$A$2:$A$28,0))</f>
        <v>2.7711761957566982E-2</v>
      </c>
      <c r="J11" s="25">
        <f>INDEX(Composite!$AB$8:$AB$17,MATCH($A11,Composite!$A$8:$A$17,0))</f>
        <v>17.90999594339355</v>
      </c>
      <c r="K11" s="25">
        <f>INDEX(Composite!$AC$8:$AC$17,MATCH($A11,Composite!$A$8:$A$17,0))</f>
        <v>15.742928211521642</v>
      </c>
      <c r="L11" s="5">
        <f>INDEX(Composite!$B$8:$B$17,MATCH($A11,Composite!$A$8:$A$17,0))</f>
        <v>477.85231806603326</v>
      </c>
      <c r="M11" s="5">
        <f>INDEX(Composite!$Q$8:$Q$17,MATCH($A11,Composite!$A$8:$A$17,0))</f>
        <v>8558.3330781038603</v>
      </c>
      <c r="N11" s="5">
        <f>INDEX(Composite!$D$8:$D$17,MATCH($A11,Composite!$A$8:$A$17,0))</f>
        <v>405.56121403787677</v>
      </c>
      <c r="O11" s="5">
        <f>INDEX(Composite!$K$8:$K$17,MATCH($A11,Composite!$A$8:$A$17,0))</f>
        <v>6384.721077975857</v>
      </c>
      <c r="P11" s="24">
        <f>INDEX('Prime Rate'!$B$2:$B$11,MATCH($A11,'Prime Rate'!$A$2:$A$11,0))/100</f>
        <v>8.1900000000000001E-2</v>
      </c>
      <c r="Q11" s="5">
        <f t="shared" si="2"/>
        <v>8080.4807600378272</v>
      </c>
      <c r="R11" s="5">
        <f t="shared" si="3"/>
        <v>5979.1598639379799</v>
      </c>
      <c r="S11" s="31">
        <f>INDEX(Inflation!$G$4:$G$19,MATCH($A11,Inflation!$A$4:$A$19,0))</f>
        <v>4.1271110564338187E-2</v>
      </c>
      <c r="T11" s="24">
        <f>INDEX('Green Street National'!$D$4:$D$18,MATCH($A11,'Green Street National'!$A$4:$A$18,0))</f>
        <v>5.1572890000000003E-2</v>
      </c>
      <c r="U11" s="37">
        <f>INDEX('Green Street National'!$F$4:$F$18,MATCH($A11,'Green Street National'!$A$4:$A$18,0))</f>
        <v>175.91029434755708</v>
      </c>
      <c r="V11" s="37">
        <f>INDEX(Inflation!$D$4:$D$19,MATCH($A11,Inflation!$A$4:$A$19,0))</f>
        <v>156.11789383101166</v>
      </c>
      <c r="W11" s="37">
        <f>INDEX(Inflation!$E$4:$E$19,MATCH($A11,Inflation!$A$4:$A$19,0))</f>
        <v>126.95693839711673</v>
      </c>
      <c r="X11" s="37">
        <f>INDEX('Costar - US Industrial'!$H$2:$H$28,MATCH(TEXT($A11,"0"),'Costar - US Industrial'!$A$2:$A$28,0))/'Costar - US Industrial'!$H$18*100</f>
        <v>159.56140568103808</v>
      </c>
      <c r="Y11" s="31">
        <f>INDEX('Green Street National'!$C$4:$C$18,MATCH($A11,'Green Street National'!$A$4:$A$18,0))</f>
        <v>4.6033749999999998E-2</v>
      </c>
      <c r="Z11" s="31">
        <f>INDEX('Costar - US Industrial'!$F$2:$F$28,MATCH(TEXT($A11-1,"0"),'Costar - US Industrial'!$A$2:$A$28,0))-INDEX('Costar - US Industrial'!$F$2:$F$28,MATCH(TEXT($A11,"0"),'Costar - US Industrial'!$A$2:$A$28,0))</f>
        <v>-1.7518596930772096E-2</v>
      </c>
      <c r="AA11" s="38">
        <f>INDEX('Costar - US Industrial'!$H$2:$H$28,MATCH(TEXT($A11,"0"),'Costar - US Industrial'!$A$2:$A$28,0))</f>
        <v>11.501830778377499</v>
      </c>
      <c r="AB11" s="31">
        <f>1-INDEX('Costar - US Industrial'!$F$2:$F$28,MATCH(TEXT($A11,"0"),'Costar - US Industrial'!$A$2:$A$28,0))</f>
        <v>0.94347826068344176</v>
      </c>
      <c r="AC11">
        <f t="shared" si="4"/>
        <v>188.32901748236702</v>
      </c>
      <c r="AE11" s="39" t="str">
        <f t="shared" si="5"/>
        <v>+11%</v>
      </c>
      <c r="AF11" s="39" t="str">
        <f t="shared" si="6"/>
        <v>+8%</v>
      </c>
    </row>
    <row r="12" spans="1:32" ht="15" customHeight="1" x14ac:dyDescent="0.25">
      <c r="A12">
        <v>2024</v>
      </c>
      <c r="B12" s="35">
        <f>INDEX(Composite!$Z$8:$Z$17,MATCH($A12,Composite!$A$8:$A$17,0))</f>
        <v>6.5572607711030712E-2</v>
      </c>
      <c r="C12" s="35">
        <f>INDEX(Composite!$Y$8:$Y$17,MATCH($A12,Composite!$A$8:$A$17,0))</f>
        <v>4.58E-2</v>
      </c>
      <c r="D12" s="36">
        <f t="shared" si="0"/>
        <v>1.9772607711030711E-2</v>
      </c>
      <c r="E12" s="35">
        <f>INDEX(Composite!$AA$8:$AA$17,MATCH($A12,Composite!$A$8:$A$17,0))</f>
        <v>7.7705980141823061E-2</v>
      </c>
      <c r="F12" s="36">
        <f t="shared" si="1"/>
        <v>1.213337243079235E-2</v>
      </c>
      <c r="G12" s="35">
        <f>INDEX('Costar - US Industrial'!$F$2:$F$28,MATCH(TEXT($A12,"0"),'Costar - US Industrial'!$A$2:$A$28,0))</f>
        <v>6.8090352693426295E-2</v>
      </c>
      <c r="H12" s="35">
        <f>INDEX('Costar - US Industrial'!$I$2:$I$28,MATCH(TEXT($A12,"0"),'Costar - US Industrial'!$A$2:$A$28,0))</f>
        <v>3.5643374899532898E-2</v>
      </c>
      <c r="I12" s="35">
        <f>INDEX('Costar - US Industrial'!$C$2:$C$28,MATCH(TEXT($A12,"0"),'Costar - US Industrial'!$A$2:$A$28,0))/INDEX('Costar - US Industrial'!$B$2:$B$28,MATCH(TEXT($A12,"0"),'Costar - US Industrial'!$A$2:$A$28,0))</f>
        <v>1.9413685589803824E-2</v>
      </c>
      <c r="J12" s="25">
        <f>INDEX(Composite!$AB$8:$AB$17,MATCH($A12,Composite!$A$8:$A$17,0))</f>
        <v>15.250270423998689</v>
      </c>
      <c r="K12" s="25">
        <f>INDEX(Composite!$AC$8:$AC$17,MATCH($A12,Composite!$A$8:$A$17,0))</f>
        <v>12.86902241210877</v>
      </c>
      <c r="L12" s="5">
        <f>INDEX(Composite!$B$8:$B$17,MATCH($A12,Composite!$A$8:$A$17,0))</f>
        <v>523.54656140024451</v>
      </c>
      <c r="M12" s="5">
        <f>INDEX(Composite!$Q$8:$Q$17,MATCH($A12,Composite!$A$8:$A$17,0))</f>
        <v>7984.2266409083622</v>
      </c>
      <c r="N12" s="5">
        <f>INDEX(Composite!$D$8:$D$17,MATCH($A12,Composite!$A$8:$A$17,0))</f>
        <v>445.09357539846587</v>
      </c>
      <c r="O12" s="5">
        <f>INDEX(Composite!$K$8:$K$17,MATCH($A12,Composite!$A$8:$A$17,0))</f>
        <v>5727.9191972884819</v>
      </c>
      <c r="P12" s="24">
        <f>INDEX('Prime Rate'!$B$2:$B$11,MATCH($A12,'Prime Rate'!$A$2:$A$11,0))/100</f>
        <v>8.3100000000000007E-2</v>
      </c>
      <c r="Q12" s="5">
        <f t="shared" si="2"/>
        <v>7460.6800795081181</v>
      </c>
      <c r="R12" s="5">
        <f t="shared" si="3"/>
        <v>5282.825621890016</v>
      </c>
      <c r="S12" s="31">
        <f>INDEX(Inflation!$G$4:$G$19,MATCH($A12,Inflation!$A$4:$A$19,0))</f>
        <v>2.9520549518711636E-2</v>
      </c>
      <c r="T12" s="24">
        <f>INDEX('Green Street National'!$D$4:$D$18,MATCH($A12,'Green Street National'!$A$4:$A$18,0))</f>
        <v>5.2849069999999998E-2</v>
      </c>
      <c r="U12" s="37">
        <f>INDEX('Green Street National'!$F$4:$F$18,MATCH($A12,'Green Street National'!$A$4:$A$18,0))</f>
        <v>176.10718373483448</v>
      </c>
      <c r="V12" s="37">
        <f>INDEX(Inflation!$D$4:$D$19,MATCH($A12,Inflation!$A$4:$A$19,0))</f>
        <v>156.28103766650528</v>
      </c>
      <c r="W12" s="37">
        <f>INDEX(Inflation!$E$4:$E$19,MATCH($A12,Inflation!$A$4:$A$19,0))</f>
        <v>130.70477698381282</v>
      </c>
      <c r="X12" s="37">
        <f>INDEX('Costar - US Industrial'!$H$2:$H$28,MATCH(TEXT($A12,"0"),'Costar - US Industrial'!$A$2:$A$28,0))/'Costar - US Industrial'!$H$18*100</f>
        <v>165.24871268322249</v>
      </c>
      <c r="Y12" s="31">
        <f>INDEX('Green Street National'!$C$4:$C$18,MATCH($A12,'Green Street National'!$A$4:$A$18,0))</f>
        <v>-4.4370260000000002E-2</v>
      </c>
      <c r="Z12" s="31">
        <f>INDEX('Costar - US Industrial'!$F$2:$F$28,MATCH(TEXT($A12-1,"0"),'Costar - US Industrial'!$A$2:$A$28,0))-INDEX('Costar - US Industrial'!$F$2:$F$28,MATCH(TEXT($A12,"0"),'Costar - US Industrial'!$A$2:$A$28,0))</f>
        <v>-1.1568613376868098E-2</v>
      </c>
      <c r="AA12" s="38">
        <f>INDEX('Costar - US Industrial'!$H$2:$H$28,MATCH(TEXT($A12,"0"),'Costar - US Industrial'!$A$2:$A$28,0))</f>
        <v>11.911794844842101</v>
      </c>
      <c r="AB12" s="31">
        <f>1-INDEX('Costar - US Industrial'!$F$2:$F$28,MATCH(TEXT($A12,"0"),'Costar - US Industrial'!$A$2:$A$28,0))</f>
        <v>0.93190964730657366</v>
      </c>
      <c r="AC12">
        <f t="shared" si="4"/>
        <v>179.97281001112987</v>
      </c>
      <c r="AE12" s="39" t="str">
        <f t="shared" si="5"/>
        <v>+10%</v>
      </c>
      <c r="AF12" s="39" t="str">
        <f t="shared" si="6"/>
        <v>+10%</v>
      </c>
    </row>
    <row r="13" spans="1:32" ht="15" customHeight="1" x14ac:dyDescent="0.25">
      <c r="A13">
        <v>2025</v>
      </c>
      <c r="B13" s="35">
        <f>INDEX(Composite!$Z$8:$Z$17,MATCH($A13,Composite!$A$8:$A$17,0))</f>
        <v>6.3809428941297305E-2</v>
      </c>
      <c r="C13" s="35">
        <f>INDEX(Composite!$Y$8:$Y$17,MATCH($A13,Composite!$A$8:$A$17,0))</f>
        <v>4.1799999999999997E-2</v>
      </c>
      <c r="D13" s="36">
        <f t="shared" si="0"/>
        <v>2.2009428941297308E-2</v>
      </c>
      <c r="E13" s="35">
        <f>INDEX(Composite!$AA$8:$AA$17,MATCH($A13,Composite!$A$8:$A$17,0))</f>
        <v>7.5120573982982553E-2</v>
      </c>
      <c r="F13" s="36">
        <f t="shared" si="1"/>
        <v>1.1311145041685247E-2</v>
      </c>
      <c r="G13" s="35">
        <f>INDEX('Costar - US Industrial'!$F$2:$F$28,MATCH(TEXT($A13,"0"),'Costar - US Industrial'!$A$2:$A$28,0))</f>
        <v>7.4612511764970205E-2</v>
      </c>
      <c r="H13" s="35">
        <f>INDEX('Costar - US Industrial'!$I$2:$I$28,MATCH(TEXT($A13,"0"),'Costar - US Industrial'!$A$2:$A$28,0))</f>
        <v>1.9678942555793499E-2</v>
      </c>
      <c r="I13" s="35">
        <f>INDEX('Costar - US Industrial'!$C$2:$C$28,MATCH(TEXT($A13,"0"),'Costar - US Industrial'!$A$2:$A$28,0))/INDEX('Costar - US Industrial'!$B$2:$B$28,MATCH(TEXT($A13,"0"),'Costar - US Industrial'!$A$2:$A$28,0))</f>
        <v>1.328722929203972E-2</v>
      </c>
      <c r="J13" s="25">
        <f>INDEX(Composite!$AB$8:$AB$17,MATCH($A13,Composite!$A$8:$A$17,0))</f>
        <v>15.671665090749659</v>
      </c>
      <c r="K13" s="25">
        <f>INDEX(Composite!$AC$8:$AC$17,MATCH($A13,Composite!$A$8:$A$17,0))</f>
        <v>13.311932363915844</v>
      </c>
      <c r="L13" s="5">
        <f>INDEX(Composite!$B$8:$B$17,MATCH($A13,Composite!$A$8:$A$17,0))</f>
        <v>580.76577935402781</v>
      </c>
      <c r="M13" s="5">
        <f>INDEX(Composite!$Q$8:$Q$17,MATCH($A13,Composite!$A$8:$A$17,0))</f>
        <v>9101.566790204537</v>
      </c>
      <c r="N13" s="5">
        <f>INDEX(Composite!$D$8:$D$17,MATCH($A13,Composite!$A$8:$A$17,0))</f>
        <v>497.81796844398019</v>
      </c>
      <c r="O13" s="5">
        <f>INDEX(Composite!$K$8:$K$17,MATCH($A13,Composite!$A$8:$A$17,0))</f>
        <v>6626.9191254682564</v>
      </c>
      <c r="P13" s="24">
        <f>INDEX('Prime Rate'!$B$2:$B$11,MATCH($A13,'Prime Rate'!$A$2:$A$11,0))/100</f>
        <v>7.3700000000000002E-2</v>
      </c>
      <c r="Q13" s="5">
        <f t="shared" si="2"/>
        <v>8520.8010108505096</v>
      </c>
      <c r="R13" s="5">
        <f t="shared" si="3"/>
        <v>6129.1011570242763</v>
      </c>
      <c r="S13" s="31">
        <f>INDEX(Inflation!$G$4:$G$19,MATCH($A13,Inflation!$A$4:$A$19,0))</f>
        <v>2.6343808376209088E-2</v>
      </c>
      <c r="T13" s="24">
        <f>INDEX('Green Street National'!$D$4:$D$18,MATCH($A13,'Green Street National'!$A$4:$A$18,0))</f>
        <v>5.4278229999999997E-2</v>
      </c>
      <c r="U13" s="37">
        <f>INDEX('Green Street National'!$F$4:$F$18,MATCH($A13,'Green Street National'!$A$4:$A$18,0))</f>
        <v>181.30796990700887</v>
      </c>
      <c r="V13" s="37">
        <f>INDEX(Inflation!$D$4:$D$19,MATCH($A13,Inflation!$A$4:$A$19,0))</f>
        <v>158.82142024776348</v>
      </c>
      <c r="W13" s="37">
        <f>INDEX(Inflation!$E$4:$E$19,MATCH($A13,Inflation!$A$4:$A$19,0))</f>
        <v>134.14803858252952</v>
      </c>
      <c r="X13" s="37">
        <f>INDEX('Costar - US Industrial'!$H$2:$H$28,MATCH(TEXT($A13,"0"),'Costar - US Industrial'!$A$2:$A$28,0))/'Costar - US Industrial'!$H$18*100</f>
        <v>168.50063260753521</v>
      </c>
      <c r="Y13" s="31">
        <f>INDEX('Green Street National'!$C$4:$C$18,MATCH($A13,'Green Street National'!$A$4:$A$18,0))</f>
        <v>-3.6628189999999998E-2</v>
      </c>
      <c r="Z13" s="31">
        <f>INDEX('Costar - US Industrial'!$F$2:$F$28,MATCH(TEXT($A13-1,"0"),'Costar - US Industrial'!$A$2:$A$28,0))-INDEX('Costar - US Industrial'!$F$2:$F$28,MATCH(TEXT($A13,"0"),'Costar - US Industrial'!$A$2:$A$28,0))</f>
        <v>-6.5221590715439093E-3</v>
      </c>
      <c r="AA13" s="38">
        <f>INDEX('Costar - US Industrial'!$H$2:$H$28,MATCH(TEXT($A13,"0"),'Costar - US Industrial'!$A$2:$A$28,0))</f>
        <v>12.1462063713302</v>
      </c>
      <c r="AB13" s="31">
        <f>1-INDEX('Costar - US Industrial'!$F$2:$F$28,MATCH(TEXT($A13,"0"),'Costar - US Industrial'!$A$2:$A$28,0))</f>
        <v>0.92538748823502981</v>
      </c>
      <c r="AC13">
        <f t="shared" si="4"/>
        <v>173.3807317312083</v>
      </c>
      <c r="AE13" s="39" t="str">
        <f t="shared" si="5"/>
        <v>+11%</v>
      </c>
      <c r="AF13" s="39" t="str">
        <f t="shared" si="6"/>
        <v>+12%</v>
      </c>
    </row>
    <row r="14" spans="1:32" x14ac:dyDescent="0.25">
      <c r="G14" s="40"/>
    </row>
    <row r="15" spans="1:32" ht="15" customHeight="1" x14ac:dyDescent="0.25">
      <c r="A15" t="s">
        <v>572</v>
      </c>
    </row>
    <row r="16" spans="1:32" ht="15" customHeight="1" x14ac:dyDescent="0.25">
      <c r="A16" t="s">
        <v>608</v>
      </c>
      <c r="X16" s="41"/>
    </row>
    <row r="17" spans="1:24" ht="15" customHeight="1" x14ac:dyDescent="0.25">
      <c r="A17" t="s">
        <v>574</v>
      </c>
      <c r="X17" s="41"/>
    </row>
    <row r="18" spans="1:24" ht="15" customHeight="1" x14ac:dyDescent="0.25">
      <c r="A18" t="s">
        <v>575</v>
      </c>
      <c r="X18" s="41"/>
    </row>
    <row r="19" spans="1:24" ht="15" customHeight="1" x14ac:dyDescent="0.25">
      <c r="A19" t="s">
        <v>609</v>
      </c>
      <c r="X19" s="41"/>
    </row>
    <row r="20" spans="1:24" ht="15" customHeight="1" x14ac:dyDescent="0.25">
      <c r="A20" t="s">
        <v>577</v>
      </c>
      <c r="X20" s="41"/>
    </row>
    <row r="21" spans="1:24" ht="15" customHeight="1" x14ac:dyDescent="0.25">
      <c r="A21" t="s">
        <v>578</v>
      </c>
      <c r="X21" s="41"/>
    </row>
    <row r="22" spans="1:24" ht="15" customHeight="1" x14ac:dyDescent="0.25">
      <c r="A22" t="s">
        <v>579</v>
      </c>
      <c r="X22" s="41"/>
    </row>
    <row r="23" spans="1:24" ht="15" customHeight="1" x14ac:dyDescent="0.25">
      <c r="A23" t="s">
        <v>580</v>
      </c>
      <c r="X23" s="41"/>
    </row>
    <row r="24" spans="1:24" ht="15" customHeight="1" x14ac:dyDescent="0.25">
      <c r="A24" t="s">
        <v>581</v>
      </c>
      <c r="X24" s="41"/>
    </row>
    <row r="25" spans="1:24" ht="15" customHeight="1" x14ac:dyDescent="0.25">
      <c r="A25" t="s">
        <v>582</v>
      </c>
    </row>
    <row r="26" spans="1:24" ht="15" customHeight="1" x14ac:dyDescent="0.25">
      <c r="A26" t="s">
        <v>610</v>
      </c>
    </row>
    <row r="27" spans="1:24" ht="15" customHeight="1" x14ac:dyDescent="0.25">
      <c r="A27" t="s">
        <v>584</v>
      </c>
      <c r="L27" s="40"/>
    </row>
    <row r="28" spans="1:24" ht="15" customHeight="1" x14ac:dyDescent="0.25">
      <c r="A28" t="s">
        <v>585</v>
      </c>
      <c r="L28" s="40"/>
    </row>
    <row r="29" spans="1:24" ht="15" customHeight="1" x14ac:dyDescent="0.25">
      <c r="A29" t="s">
        <v>586</v>
      </c>
    </row>
    <row r="30" spans="1:24" ht="15" customHeight="1" x14ac:dyDescent="0.25">
      <c r="A30" t="s">
        <v>587</v>
      </c>
    </row>
    <row r="31" spans="1:24" ht="15" customHeight="1" x14ac:dyDescent="0.25">
      <c r="A31" t="s">
        <v>588</v>
      </c>
    </row>
    <row r="32" spans="1:24" ht="15" customHeight="1" x14ac:dyDescent="0.25">
      <c r="A32" t="s">
        <v>589</v>
      </c>
    </row>
    <row r="128" spans="12:13" x14ac:dyDescent="0.25">
      <c r="L128" s="40"/>
      <c r="M128" s="40"/>
    </row>
    <row r="129" spans="12:13" x14ac:dyDescent="0.25">
      <c r="L129" s="40"/>
      <c r="M129" s="40"/>
    </row>
    <row r="130" spans="12:13" x14ac:dyDescent="0.25">
      <c r="L130" s="40"/>
      <c r="M130" s="40"/>
    </row>
    <row r="131" spans="12:13" x14ac:dyDescent="0.25">
      <c r="L131" s="40"/>
      <c r="M131" s="40"/>
    </row>
    <row r="132" spans="12:13" x14ac:dyDescent="0.25">
      <c r="L132" s="40"/>
      <c r="M132" s="40"/>
    </row>
    <row r="133" spans="12:13" x14ac:dyDescent="0.25">
      <c r="L133" s="40"/>
      <c r="M133" s="40"/>
    </row>
    <row r="134" spans="12:13" x14ac:dyDescent="0.25">
      <c r="L134" s="40"/>
      <c r="M134" s="40"/>
    </row>
    <row r="135" spans="12:13" x14ac:dyDescent="0.25">
      <c r="L135" s="40"/>
      <c r="M135" s="40"/>
    </row>
    <row r="136" spans="12:13" x14ac:dyDescent="0.25">
      <c r="L136" s="40"/>
      <c r="M136" s="40"/>
    </row>
    <row r="137" spans="12:13" x14ac:dyDescent="0.25">
      <c r="M137" s="40"/>
    </row>
    <row r="138" spans="12:13" x14ac:dyDescent="0.25">
      <c r="M138" s="40"/>
    </row>
    <row r="156" spans="12:12" x14ac:dyDescent="0.25">
      <c r="L156" s="40"/>
    </row>
    <row r="157" spans="12:12" x14ac:dyDescent="0.25">
      <c r="L157" s="40"/>
    </row>
    <row r="158" spans="12:12" x14ac:dyDescent="0.25">
      <c r="L158" s="40"/>
    </row>
    <row r="159" spans="12:12" x14ac:dyDescent="0.25">
      <c r="L159" s="40"/>
    </row>
    <row r="160" spans="12:12" x14ac:dyDescent="0.25">
      <c r="L160" s="40"/>
    </row>
    <row r="161" spans="12:12" x14ac:dyDescent="0.25">
      <c r="L161" s="40"/>
    </row>
    <row r="162" spans="12:12" x14ac:dyDescent="0.25">
      <c r="L162" s="40"/>
    </row>
    <row r="163" spans="12:12" x14ac:dyDescent="0.25">
      <c r="L163" s="40"/>
    </row>
    <row r="164" spans="12:12" x14ac:dyDescent="0.25">
      <c r="L164" s="40"/>
    </row>
  </sheetData>
  <pageMargins left="0.75" right="0.75" top="1" bottom="1" header="0.511811023622047" footer="0.511811023622047"/>
  <pageSetup paperSize="9" orientation="portrait" horizontalDpi="300" verticalDpi="300"/>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0"/>
  <sheetViews>
    <sheetView zoomScaleNormal="100" workbookViewId="0"/>
  </sheetViews>
  <sheetFormatPr defaultColWidth="8.7109375" defaultRowHeight="15" x14ac:dyDescent="0.25"/>
  <cols>
    <col min="1" max="1" width="12" customWidth="1"/>
    <col min="2" max="2" width="18" customWidth="1"/>
    <col min="3" max="3" width="16" customWidth="1"/>
    <col min="4" max="4" width="18" customWidth="1"/>
    <col min="5" max="5" width="17.28515625" customWidth="1"/>
    <col min="6" max="6" width="12" customWidth="1"/>
    <col min="7" max="7" width="14" customWidth="1"/>
    <col min="8" max="8" width="20" customWidth="1"/>
    <col min="9" max="9" width="26" customWidth="1"/>
    <col min="10" max="10" width="18" customWidth="1"/>
    <col min="11" max="11" width="22" customWidth="1"/>
  </cols>
  <sheetData>
    <row r="1" spans="1:11" ht="15" customHeight="1" x14ac:dyDescent="0.25">
      <c r="A1" s="1" t="s">
        <v>611</v>
      </c>
      <c r="B1" s="1" t="s">
        <v>612</v>
      </c>
      <c r="C1" s="1" t="s">
        <v>613</v>
      </c>
      <c r="D1" s="1" t="s">
        <v>614</v>
      </c>
      <c r="E1" s="1" t="s">
        <v>615</v>
      </c>
      <c r="F1" s="1" t="s">
        <v>616</v>
      </c>
      <c r="G1" s="1" t="s">
        <v>617</v>
      </c>
      <c r="H1" s="1" t="s">
        <v>618</v>
      </c>
      <c r="I1" s="1" t="s">
        <v>619</v>
      </c>
      <c r="J1" s="1" t="s">
        <v>620</v>
      </c>
      <c r="K1" s="1" t="s">
        <v>621</v>
      </c>
    </row>
    <row r="2" spans="1:11" ht="15" customHeight="1" x14ac:dyDescent="0.25">
      <c r="A2" t="s">
        <v>622</v>
      </c>
      <c r="B2" s="5">
        <v>14138377636</v>
      </c>
      <c r="C2" s="5">
        <v>77585916</v>
      </c>
      <c r="D2" s="5">
        <v>67225363</v>
      </c>
      <c r="E2" s="5">
        <v>0</v>
      </c>
      <c r="F2" s="31">
        <v>5.77711594660082E-2</v>
      </c>
      <c r="G2" s="42" t="s">
        <v>623</v>
      </c>
      <c r="H2" s="43">
        <v>5.6104426960470901</v>
      </c>
      <c r="I2" s="42" t="s">
        <v>623</v>
      </c>
      <c r="J2" s="5">
        <v>272501768</v>
      </c>
      <c r="K2" s="31">
        <v>1.92739064562924E-2</v>
      </c>
    </row>
    <row r="3" spans="1:11" ht="15" customHeight="1" x14ac:dyDescent="0.25">
      <c r="A3" t="s">
        <v>624</v>
      </c>
      <c r="B3" s="5">
        <v>14447148096</v>
      </c>
      <c r="C3" s="5">
        <v>308460600</v>
      </c>
      <c r="D3" s="5">
        <v>237059704</v>
      </c>
      <c r="E3" s="5">
        <v>54000141</v>
      </c>
      <c r="F3" s="31">
        <v>7.4147837475037101E-2</v>
      </c>
      <c r="G3" s="42" t="s">
        <v>623</v>
      </c>
      <c r="H3" s="43">
        <v>5.6944374083080502</v>
      </c>
      <c r="I3" s="31">
        <v>1.4971138074389E-2</v>
      </c>
      <c r="J3" s="5">
        <v>184871880</v>
      </c>
      <c r="K3" s="31">
        <v>1.2796427279040999E-2</v>
      </c>
    </row>
    <row r="4" spans="1:11" ht="15" customHeight="1" x14ac:dyDescent="0.25">
      <c r="A4" t="s">
        <v>625</v>
      </c>
      <c r="B4" s="5">
        <v>14642203448</v>
      </c>
      <c r="C4" s="5">
        <v>193625065</v>
      </c>
      <c r="D4" s="5">
        <v>179342821</v>
      </c>
      <c r="E4" s="5">
        <v>34291302</v>
      </c>
      <c r="F4" s="31">
        <v>8.4035391351434299E-2</v>
      </c>
      <c r="G4" s="42" t="s">
        <v>623</v>
      </c>
      <c r="H4" s="43">
        <v>5.66375007513063</v>
      </c>
      <c r="I4" s="31">
        <v>-5.3890017532993604E-3</v>
      </c>
      <c r="J4" s="5">
        <v>146463129</v>
      </c>
      <c r="K4" s="31">
        <v>1.00028065803174E-2</v>
      </c>
    </row>
    <row r="5" spans="1:11" ht="15" customHeight="1" x14ac:dyDescent="0.25">
      <c r="A5" t="s">
        <v>626</v>
      </c>
      <c r="B5" s="5">
        <v>14793942258</v>
      </c>
      <c r="C5" s="5">
        <v>151068332</v>
      </c>
      <c r="D5" s="5">
        <v>201271150</v>
      </c>
      <c r="E5" s="5">
        <v>89382315</v>
      </c>
      <c r="F5" s="31">
        <v>8.7363500307099801E-2</v>
      </c>
      <c r="G5" s="42" t="s">
        <v>623</v>
      </c>
      <c r="H5" s="43">
        <v>5.6521463554149101</v>
      </c>
      <c r="I5" s="31">
        <v>-2.0487697306182701E-3</v>
      </c>
      <c r="J5" s="5">
        <v>174298914</v>
      </c>
      <c r="K5" s="31">
        <v>1.17817760107686E-2</v>
      </c>
    </row>
    <row r="6" spans="1:11" ht="15" customHeight="1" x14ac:dyDescent="0.25">
      <c r="A6" t="s">
        <v>627</v>
      </c>
      <c r="B6" s="5">
        <v>14967049376</v>
      </c>
      <c r="C6" s="5">
        <v>173002467</v>
      </c>
      <c r="D6" s="5">
        <v>239773819</v>
      </c>
      <c r="E6" s="5">
        <v>190984342</v>
      </c>
      <c r="F6" s="31">
        <v>8.5157852959567903E-2</v>
      </c>
      <c r="G6" s="42" t="s">
        <v>623</v>
      </c>
      <c r="H6" s="43">
        <v>5.7282214077774096</v>
      </c>
      <c r="I6" s="31">
        <v>1.3459497963921501E-2</v>
      </c>
      <c r="J6" s="5">
        <v>204281786</v>
      </c>
      <c r="K6" s="31">
        <v>1.3648768095037501E-2</v>
      </c>
    </row>
    <row r="7" spans="1:11" ht="15" customHeight="1" x14ac:dyDescent="0.25">
      <c r="A7" t="s">
        <v>628</v>
      </c>
      <c r="B7" s="5">
        <v>15189804980</v>
      </c>
      <c r="C7" s="5">
        <v>205491814</v>
      </c>
      <c r="D7" s="5">
        <v>258640214</v>
      </c>
      <c r="E7" s="5">
        <v>253666660</v>
      </c>
      <c r="F7" s="31">
        <v>8.0946865125585105E-2</v>
      </c>
      <c r="G7" s="31">
        <v>9.2020589449139503E-2</v>
      </c>
      <c r="H7" s="43">
        <v>5.8587663921177304</v>
      </c>
      <c r="I7" s="31">
        <v>2.2789793733022E-2</v>
      </c>
      <c r="J7" s="5">
        <v>224215757</v>
      </c>
      <c r="K7" s="31">
        <v>1.4760937174323099E-2</v>
      </c>
    </row>
    <row r="8" spans="1:11" ht="15" customHeight="1" x14ac:dyDescent="0.25">
      <c r="A8" t="s">
        <v>629</v>
      </c>
      <c r="B8" s="5">
        <v>15477578448</v>
      </c>
      <c r="C8" s="5">
        <v>237337510</v>
      </c>
      <c r="D8" s="5">
        <v>252427351</v>
      </c>
      <c r="E8" s="5">
        <v>252014967</v>
      </c>
      <c r="F8" s="31">
        <v>7.8595895933397206E-2</v>
      </c>
      <c r="G8" s="31">
        <v>9.0633520378459301E-2</v>
      </c>
      <c r="H8" s="43">
        <v>6.0333588986132298</v>
      </c>
      <c r="I8" s="31">
        <v>2.98002164295861E-2</v>
      </c>
      <c r="J8" s="5">
        <v>203556347</v>
      </c>
      <c r="K8" s="31">
        <v>1.31516921515784E-2</v>
      </c>
    </row>
    <row r="9" spans="1:11" ht="15" customHeight="1" x14ac:dyDescent="0.25">
      <c r="A9" t="s">
        <v>630</v>
      </c>
      <c r="B9" s="5">
        <v>15687386585</v>
      </c>
      <c r="C9" s="5">
        <v>209584039</v>
      </c>
      <c r="D9" s="5">
        <v>259455581</v>
      </c>
      <c r="E9" s="5">
        <v>201737261</v>
      </c>
      <c r="F9" s="31">
        <v>7.8040936797631702E-2</v>
      </c>
      <c r="G9" s="31">
        <v>9.5553399951771006E-2</v>
      </c>
      <c r="H9" s="43">
        <v>6.17070361991229</v>
      </c>
      <c r="I9" s="31">
        <v>2.2764221987627498E-2</v>
      </c>
      <c r="J9" s="5">
        <v>217723529</v>
      </c>
      <c r="K9" s="31">
        <v>1.38788910326328E-2</v>
      </c>
    </row>
    <row r="10" spans="1:11" ht="15" customHeight="1" x14ac:dyDescent="0.25">
      <c r="A10" t="s">
        <v>631</v>
      </c>
      <c r="B10" s="5">
        <v>15909582906</v>
      </c>
      <c r="C10" s="5">
        <v>222062258</v>
      </c>
      <c r="D10" s="5">
        <v>153739702</v>
      </c>
      <c r="E10" s="5">
        <v>83051992</v>
      </c>
      <c r="F10" s="31">
        <v>8.5672480985404406E-2</v>
      </c>
      <c r="G10" s="31">
        <v>0.11042042934236899</v>
      </c>
      <c r="H10" s="43">
        <v>6.1685778843798902</v>
      </c>
      <c r="I10" s="31">
        <v>-3.4448835389508598E-4</v>
      </c>
      <c r="J10" s="5">
        <v>107944279</v>
      </c>
      <c r="K10" s="31">
        <v>6.7848591404172402E-3</v>
      </c>
    </row>
    <row r="11" spans="1:11" ht="15" customHeight="1" x14ac:dyDescent="0.25">
      <c r="A11" t="s">
        <v>632</v>
      </c>
      <c r="B11" s="5">
        <v>15975967517</v>
      </c>
      <c r="C11" s="5">
        <v>66345491</v>
      </c>
      <c r="D11" s="5">
        <v>57967359</v>
      </c>
      <c r="E11" s="5">
        <v>-187796167</v>
      </c>
      <c r="F11" s="31">
        <v>0.101242892568408</v>
      </c>
      <c r="G11" s="31">
        <v>0.134665633343585</v>
      </c>
      <c r="H11" s="43">
        <v>5.9691409825435899</v>
      </c>
      <c r="I11" s="31">
        <v>-3.2331098929839E-2</v>
      </c>
      <c r="J11" s="5">
        <v>45195878</v>
      </c>
      <c r="K11" s="31">
        <v>2.82899160579208E-3</v>
      </c>
    </row>
    <row r="12" spans="1:11" ht="15" customHeight="1" x14ac:dyDescent="0.25">
      <c r="A12" t="s">
        <v>633</v>
      </c>
      <c r="B12" s="5">
        <v>15964326952</v>
      </c>
      <c r="C12" s="5">
        <v>-11800566</v>
      </c>
      <c r="D12" s="5">
        <v>57738026</v>
      </c>
      <c r="E12" s="5">
        <v>-1080161</v>
      </c>
      <c r="F12" s="31">
        <v>0.10064391952325399</v>
      </c>
      <c r="G12" s="31">
        <v>0.13563206678843601</v>
      </c>
      <c r="H12" s="43">
        <v>5.8555515252874502</v>
      </c>
      <c r="I12" s="31">
        <v>-1.9029447886776199E-2</v>
      </c>
      <c r="J12" s="5">
        <v>48021539</v>
      </c>
      <c r="K12" s="31">
        <v>3.0080528383305198E-3</v>
      </c>
    </row>
    <row r="13" spans="1:11" ht="15" customHeight="1" x14ac:dyDescent="0.25">
      <c r="A13" t="s">
        <v>634</v>
      </c>
      <c r="B13" s="5">
        <v>15961684650</v>
      </c>
      <c r="C13" s="5">
        <v>-2768302</v>
      </c>
      <c r="D13" s="5">
        <v>66483234</v>
      </c>
      <c r="E13" s="5">
        <v>111596730</v>
      </c>
      <c r="F13" s="31">
        <v>9.3552410020830701E-2</v>
      </c>
      <c r="G13" s="31">
        <v>0.128782318755916</v>
      </c>
      <c r="H13" s="43">
        <v>5.8814059975363504</v>
      </c>
      <c r="I13" s="31">
        <v>4.4153778063843099E-3</v>
      </c>
      <c r="J13" s="5">
        <v>57677898</v>
      </c>
      <c r="K13" s="31">
        <v>3.61352195991417E-3</v>
      </c>
    </row>
    <row r="14" spans="1:11" ht="15" customHeight="1" x14ac:dyDescent="0.25">
      <c r="A14" t="s">
        <v>635</v>
      </c>
      <c r="B14" s="5">
        <v>15954328409</v>
      </c>
      <c r="C14" s="5">
        <v>-7504802</v>
      </c>
      <c r="D14" s="5">
        <v>104343556</v>
      </c>
      <c r="E14" s="5">
        <v>108931249</v>
      </c>
      <c r="F14" s="31">
        <v>8.6297976994338305E-2</v>
      </c>
      <c r="G14" s="31">
        <v>0.121530499911119</v>
      </c>
      <c r="H14" s="43">
        <v>6.00421140409843</v>
      </c>
      <c r="I14" s="31">
        <v>2.0880280431842899E-2</v>
      </c>
      <c r="J14" s="5">
        <v>85526579</v>
      </c>
      <c r="K14" s="31">
        <v>5.3607132063141901E-3</v>
      </c>
    </row>
    <row r="15" spans="1:11" ht="15" customHeight="1" x14ac:dyDescent="0.25">
      <c r="A15" t="s">
        <v>636</v>
      </c>
      <c r="B15" s="5">
        <v>15985129753</v>
      </c>
      <c r="C15" s="5">
        <v>30363870</v>
      </c>
      <c r="D15" s="5">
        <v>158941020</v>
      </c>
      <c r="E15" s="5">
        <v>178294665</v>
      </c>
      <c r="F15" s="31">
        <v>7.6890395886172205E-2</v>
      </c>
      <c r="G15" s="31">
        <v>0.10836833531329</v>
      </c>
      <c r="H15" s="43">
        <v>6.2114775187687696</v>
      </c>
      <c r="I15" s="31">
        <v>3.4520122747320803E-2</v>
      </c>
      <c r="J15" s="5">
        <v>136668824</v>
      </c>
      <c r="K15" s="31">
        <v>8.5497475536193707E-3</v>
      </c>
    </row>
    <row r="16" spans="1:11" ht="15" customHeight="1" x14ac:dyDescent="0.25">
      <c r="A16" t="s">
        <v>637</v>
      </c>
      <c r="B16" s="5">
        <v>16077312881</v>
      </c>
      <c r="C16" s="5">
        <v>91174870</v>
      </c>
      <c r="D16" s="5">
        <v>203389905</v>
      </c>
      <c r="E16" s="5">
        <v>251233534</v>
      </c>
      <c r="F16" s="31">
        <v>6.6474614502465598E-2</v>
      </c>
      <c r="G16" s="31">
        <v>9.7591339971965396E-2</v>
      </c>
      <c r="H16" s="43">
        <v>6.4896440670228897</v>
      </c>
      <c r="I16" s="31">
        <v>4.4782670051305103E-2</v>
      </c>
      <c r="J16" s="5">
        <v>177817447</v>
      </c>
      <c r="K16" s="31">
        <v>1.1060147197243599E-2</v>
      </c>
    </row>
    <row r="17" spans="1:11" ht="15" customHeight="1" x14ac:dyDescent="0.25">
      <c r="A17" t="s">
        <v>638</v>
      </c>
      <c r="B17" s="5">
        <v>16216590935</v>
      </c>
      <c r="C17" s="5">
        <v>137861646</v>
      </c>
      <c r="D17" s="5">
        <v>241062228</v>
      </c>
      <c r="E17" s="5">
        <v>249175249</v>
      </c>
      <c r="F17" s="31">
        <v>5.9028078209336698E-2</v>
      </c>
      <c r="G17" s="31">
        <v>9.0605743983302206E-2</v>
      </c>
      <c r="H17" s="43">
        <v>6.8360413117057703</v>
      </c>
      <c r="I17" s="31">
        <v>5.3376925006272301E-2</v>
      </c>
      <c r="J17" s="5">
        <v>216129036</v>
      </c>
      <c r="K17" s="31">
        <v>1.33276492492348E-2</v>
      </c>
    </row>
    <row r="18" spans="1:11" ht="15" customHeight="1" x14ac:dyDescent="0.25">
      <c r="A18" t="s">
        <v>144</v>
      </c>
      <c r="B18" s="5">
        <v>16399534271</v>
      </c>
      <c r="C18" s="5">
        <v>181229204</v>
      </c>
      <c r="D18" s="5">
        <v>283415397</v>
      </c>
      <c r="E18" s="5">
        <v>280825774</v>
      </c>
      <c r="F18" s="31">
        <v>5.2253933059267697E-2</v>
      </c>
      <c r="G18" s="31">
        <v>8.0049426961131695E-2</v>
      </c>
      <c r="H18" s="43">
        <v>7.2084040180553197</v>
      </c>
      <c r="I18" s="31">
        <v>5.4470517273195899E-2</v>
      </c>
      <c r="J18" s="5">
        <v>265457194</v>
      </c>
      <c r="K18" s="31">
        <v>1.6186873944915602E-2</v>
      </c>
    </row>
    <row r="19" spans="1:11" ht="15" customHeight="1" x14ac:dyDescent="0.25">
      <c r="A19" t="s">
        <v>130</v>
      </c>
      <c r="B19" s="5">
        <v>16623683883</v>
      </c>
      <c r="C19" s="5">
        <v>221848800</v>
      </c>
      <c r="D19" s="5">
        <v>279509847</v>
      </c>
      <c r="E19" s="5">
        <v>252584648</v>
      </c>
      <c r="F19" s="31">
        <v>4.9649774370652398E-2</v>
      </c>
      <c r="G19" s="31">
        <v>7.3822444997608497E-2</v>
      </c>
      <c r="H19" s="43">
        <v>7.6207957627302196</v>
      </c>
      <c r="I19" s="31">
        <v>5.72098544479408E-2</v>
      </c>
      <c r="J19" s="5">
        <v>276132349</v>
      </c>
      <c r="K19" s="31">
        <v>1.6610779592746198E-2</v>
      </c>
    </row>
    <row r="20" spans="1:11" ht="15" customHeight="1" x14ac:dyDescent="0.25">
      <c r="A20" t="s">
        <v>121</v>
      </c>
      <c r="B20" s="5">
        <v>16853418496</v>
      </c>
      <c r="C20" s="5">
        <v>227550348</v>
      </c>
      <c r="D20" s="5">
        <v>322549981</v>
      </c>
      <c r="E20" s="5">
        <v>265513088</v>
      </c>
      <c r="F20" s="31">
        <v>4.6766791152018601E-2</v>
      </c>
      <c r="G20" s="31">
        <v>7.01139294294328E-2</v>
      </c>
      <c r="H20" s="43">
        <v>8.0585030051050701</v>
      </c>
      <c r="I20" s="31">
        <v>5.7435897247827598E-2</v>
      </c>
      <c r="J20" s="5">
        <v>310666102</v>
      </c>
      <c r="K20" s="31">
        <v>1.8433417651957901E-2</v>
      </c>
    </row>
    <row r="21" spans="1:11" ht="15" customHeight="1" x14ac:dyDescent="0.25">
      <c r="A21" t="s">
        <v>105</v>
      </c>
      <c r="B21" s="5">
        <v>17114123849</v>
      </c>
      <c r="C21" s="5">
        <v>260161548</v>
      </c>
      <c r="D21" s="5">
        <v>332800137</v>
      </c>
      <c r="E21" s="5">
        <v>180580888</v>
      </c>
      <c r="F21" s="31">
        <v>5.0732433845904E-2</v>
      </c>
      <c r="G21" s="31">
        <v>6.9665865540731703E-2</v>
      </c>
      <c r="H21" s="43">
        <v>8.5157481665742498</v>
      </c>
      <c r="I21" s="31">
        <v>5.6740707446471E-2</v>
      </c>
      <c r="J21" s="5">
        <v>340742712</v>
      </c>
      <c r="K21" s="31">
        <v>1.9910029575946401E-2</v>
      </c>
    </row>
    <row r="22" spans="1:11" ht="15" customHeight="1" x14ac:dyDescent="0.25">
      <c r="A22" t="s">
        <v>96</v>
      </c>
      <c r="B22" s="5">
        <v>17408496680</v>
      </c>
      <c r="C22" s="5">
        <v>293533336</v>
      </c>
      <c r="D22" s="5">
        <v>374522339</v>
      </c>
      <c r="E22" s="5">
        <v>212286956</v>
      </c>
      <c r="F22" s="31">
        <v>5.45368241986533E-2</v>
      </c>
      <c r="G22" s="31">
        <v>7.4066826417264503E-2</v>
      </c>
      <c r="H22" s="43">
        <v>9.0124778657559901</v>
      </c>
      <c r="I22" s="31">
        <v>5.83307173327988E-2</v>
      </c>
      <c r="J22" s="5">
        <v>372007496</v>
      </c>
      <c r="K22" s="31">
        <v>2.1369306197897401E-2</v>
      </c>
    </row>
    <row r="23" spans="1:11" ht="15" customHeight="1" x14ac:dyDescent="0.25">
      <c r="A23" t="s">
        <v>79</v>
      </c>
      <c r="B23" s="5">
        <v>17705589956</v>
      </c>
      <c r="C23" s="5">
        <v>296972544</v>
      </c>
      <c r="D23" s="5">
        <v>521312308</v>
      </c>
      <c r="E23" s="5">
        <v>514156172</v>
      </c>
      <c r="F23" s="31">
        <v>4.13794988938916E-2</v>
      </c>
      <c r="G23" s="31">
        <v>6.0956257836898002E-2</v>
      </c>
      <c r="H23" s="43">
        <v>9.7576253176282304</v>
      </c>
      <c r="I23" s="31">
        <v>8.2679531974610906E-2</v>
      </c>
      <c r="J23" s="5">
        <v>542672685</v>
      </c>
      <c r="K23" s="31">
        <v>3.06497940113033E-2</v>
      </c>
    </row>
    <row r="24" spans="1:11" ht="15" customHeight="1" x14ac:dyDescent="0.25">
      <c r="A24" t="s">
        <v>70</v>
      </c>
      <c r="B24" s="5">
        <v>18101854410</v>
      </c>
      <c r="C24" s="5">
        <v>396102104</v>
      </c>
      <c r="D24" s="5">
        <v>577104534</v>
      </c>
      <c r="E24" s="5">
        <v>423082819</v>
      </c>
      <c r="F24" s="31">
        <v>3.9003142385786102E-2</v>
      </c>
      <c r="G24" s="31">
        <v>6.5859932260492804E-2</v>
      </c>
      <c r="H24" s="43">
        <v>10.7360950922091</v>
      </c>
      <c r="I24" s="31">
        <v>0.100277448941721</v>
      </c>
      <c r="J24" s="5">
        <v>661676722</v>
      </c>
      <c r="K24" s="31">
        <v>3.6552979988308303E-2</v>
      </c>
    </row>
    <row r="25" spans="1:11" ht="15" customHeight="1" x14ac:dyDescent="0.25">
      <c r="A25" t="s">
        <v>55</v>
      </c>
      <c r="B25" s="5">
        <v>18617845801</v>
      </c>
      <c r="C25" s="5">
        <v>515933311</v>
      </c>
      <c r="D25" s="5">
        <v>345040493</v>
      </c>
      <c r="E25" s="5">
        <v>169586508</v>
      </c>
      <c r="F25" s="31">
        <v>5.6521739316558198E-2</v>
      </c>
      <c r="G25" s="31">
        <v>7.8823079991467301E-2</v>
      </c>
      <c r="H25" s="43">
        <v>11.501830778377499</v>
      </c>
      <c r="I25" s="31">
        <v>7.1323482103282002E-2</v>
      </c>
      <c r="J25" s="5">
        <v>459212868</v>
      </c>
      <c r="K25" s="31">
        <v>2.4665198804865798E-2</v>
      </c>
    </row>
    <row r="26" spans="1:11" ht="15" customHeight="1" x14ac:dyDescent="0.25">
      <c r="A26" t="s">
        <v>48</v>
      </c>
      <c r="B26" s="5">
        <v>18986880224</v>
      </c>
      <c r="C26" s="5">
        <v>368605323</v>
      </c>
      <c r="D26" s="5">
        <v>276987227</v>
      </c>
      <c r="E26" s="5">
        <v>128563894</v>
      </c>
      <c r="F26" s="31">
        <v>6.8090352693426295E-2</v>
      </c>
      <c r="G26" s="31">
        <v>8.9579300477039006E-2</v>
      </c>
      <c r="H26" s="43">
        <v>11.911794844842101</v>
      </c>
      <c r="I26" s="31">
        <v>3.5643374899532898E-2</v>
      </c>
      <c r="J26" s="5">
        <v>341786578</v>
      </c>
      <c r="K26" s="31">
        <v>1.8001197351420101E-2</v>
      </c>
    </row>
    <row r="27" spans="1:11" ht="15" customHeight="1" x14ac:dyDescent="0.25">
      <c r="A27" t="s">
        <v>7</v>
      </c>
      <c r="B27" s="5">
        <v>19242831397</v>
      </c>
      <c r="C27" s="5">
        <v>255683913</v>
      </c>
      <c r="D27" s="5">
        <v>275381398</v>
      </c>
      <c r="E27" s="5">
        <v>112977975</v>
      </c>
      <c r="F27" s="31">
        <v>7.4612511764970205E-2</v>
      </c>
      <c r="G27" s="31">
        <v>9.5484137069793695E-2</v>
      </c>
      <c r="H27" s="43">
        <v>12.1462063713302</v>
      </c>
      <c r="I27" s="31">
        <v>1.9678942555793499E-2</v>
      </c>
      <c r="J27" s="5">
        <v>334317931</v>
      </c>
      <c r="K27" s="31">
        <v>1.7373635100919799E-2</v>
      </c>
    </row>
    <row r="28" spans="1:11" ht="15" customHeight="1" x14ac:dyDescent="0.25">
      <c r="A28" t="s">
        <v>639</v>
      </c>
      <c r="B28" s="5">
        <v>19290544659</v>
      </c>
      <c r="C28" s="5">
        <v>47713262</v>
      </c>
      <c r="D28" s="5">
        <v>50436056</v>
      </c>
      <c r="E28" s="5">
        <v>23857271</v>
      </c>
      <c r="F28" s="31">
        <v>7.5678101049308499E-2</v>
      </c>
      <c r="G28" s="31">
        <v>9.5683340370796996E-2</v>
      </c>
      <c r="H28" s="43">
        <v>12.1387914628753</v>
      </c>
      <c r="I28" s="31">
        <v>1.20157271190354E-2</v>
      </c>
      <c r="J28" s="5">
        <v>333571490</v>
      </c>
      <c r="K28" s="31">
        <v>1.72919684693492E-2</v>
      </c>
    </row>
    <row r="30" spans="1:11" ht="15" customHeight="1" x14ac:dyDescent="0.25">
      <c r="A30" s="33" t="s">
        <v>640</v>
      </c>
    </row>
  </sheetData>
  <pageMargins left="0.75" right="0.75" top="1" bottom="1"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4"/>
  <sheetViews>
    <sheetView zoomScaleNormal="100" workbookViewId="0">
      <selection activeCell="A21" sqref="A21"/>
    </sheetView>
  </sheetViews>
  <sheetFormatPr defaultColWidth="8.7109375" defaultRowHeight="15" x14ac:dyDescent="0.25"/>
  <cols>
    <col min="1" max="1" width="8" customWidth="1"/>
    <col min="2" max="2" width="18" customWidth="1"/>
    <col min="3" max="4" width="24" customWidth="1"/>
    <col min="5" max="5" width="12" customWidth="1"/>
    <col min="6" max="6" width="18" customWidth="1"/>
    <col min="7" max="7" width="24" customWidth="1"/>
    <col min="8" max="8" width="20" customWidth="1"/>
    <col min="9" max="9" width="26" customWidth="1"/>
  </cols>
  <sheetData>
    <row r="1" spans="1:9" ht="15" customHeight="1" x14ac:dyDescent="0.25">
      <c r="A1" s="22" t="s">
        <v>641</v>
      </c>
    </row>
    <row r="2" spans="1:9" ht="15" customHeight="1" x14ac:dyDescent="0.25">
      <c r="A2" t="s">
        <v>642</v>
      </c>
    </row>
    <row r="3" spans="1:9" ht="15" customHeight="1" x14ac:dyDescent="0.25">
      <c r="A3" s="22" t="s">
        <v>643</v>
      </c>
      <c r="B3" s="22" t="s">
        <v>644</v>
      </c>
      <c r="C3" s="22" t="s">
        <v>645</v>
      </c>
      <c r="D3" s="22" t="s">
        <v>646</v>
      </c>
      <c r="E3" s="22" t="s">
        <v>647</v>
      </c>
      <c r="F3" s="22" t="s">
        <v>648</v>
      </c>
      <c r="G3" s="22" t="s">
        <v>649</v>
      </c>
      <c r="H3" s="22" t="s">
        <v>650</v>
      </c>
      <c r="I3" s="22" t="s">
        <v>651</v>
      </c>
    </row>
    <row r="4" spans="1:9" ht="15" customHeight="1" x14ac:dyDescent="0.25">
      <c r="A4">
        <v>2016</v>
      </c>
      <c r="B4" s="31">
        <v>1.6958379999999999E-2</v>
      </c>
      <c r="C4" s="31">
        <v>6.7850380000000002E-2</v>
      </c>
      <c r="D4" s="24">
        <v>5.8150930000000003E-2</v>
      </c>
      <c r="E4" s="37">
        <v>122.56611864</v>
      </c>
      <c r="F4" s="37">
        <f t="shared" ref="F4:F14" si="0">E4/$E$4*100</f>
        <v>100</v>
      </c>
      <c r="G4" t="s">
        <v>652</v>
      </c>
      <c r="H4" s="31">
        <f t="shared" ref="H4:H18" si="1">IF(A4&lt;=2025,B4,"")</f>
        <v>1.6958379999999999E-2</v>
      </c>
      <c r="I4" s="31" t="str">
        <f t="shared" ref="I4:I18" si="2">IF(A4&gt;=2026,B4,"")</f>
        <v/>
      </c>
    </row>
    <row r="5" spans="1:9" ht="15" customHeight="1" x14ac:dyDescent="0.25">
      <c r="A5">
        <v>2017</v>
      </c>
      <c r="B5" s="31">
        <v>1.8904939999999999E-2</v>
      </c>
      <c r="C5" s="31">
        <v>5.6166010000000002E-2</v>
      </c>
      <c r="D5" s="24">
        <v>5.5684129999999998E-2</v>
      </c>
      <c r="E5" s="37">
        <v>134.14157981</v>
      </c>
      <c r="F5" s="37">
        <f t="shared" si="0"/>
        <v>109.44425857524243</v>
      </c>
      <c r="G5" t="s">
        <v>652</v>
      </c>
      <c r="H5" s="31">
        <f t="shared" si="1"/>
        <v>1.8904939999999999E-2</v>
      </c>
      <c r="I5" s="31" t="str">
        <f t="shared" si="2"/>
        <v/>
      </c>
    </row>
    <row r="6" spans="1:9" ht="15" customHeight="1" x14ac:dyDescent="0.25">
      <c r="A6">
        <v>2018</v>
      </c>
      <c r="B6" s="31">
        <v>2.0244990000000001E-2</v>
      </c>
      <c r="C6" s="31">
        <v>5.4186060000000001E-2</v>
      </c>
      <c r="D6" s="24">
        <v>5.391642E-2</v>
      </c>
      <c r="E6" s="37">
        <v>148.87177259000001</v>
      </c>
      <c r="F6" s="37">
        <f t="shared" si="0"/>
        <v>121.46241901260227</v>
      </c>
      <c r="G6" t="s">
        <v>652</v>
      </c>
      <c r="H6" s="31">
        <f t="shared" si="1"/>
        <v>2.0244990000000001E-2</v>
      </c>
      <c r="I6" s="31" t="str">
        <f t="shared" si="2"/>
        <v/>
      </c>
    </row>
    <row r="7" spans="1:9" ht="15" customHeight="1" x14ac:dyDescent="0.25">
      <c r="A7">
        <v>2019</v>
      </c>
      <c r="B7" s="31">
        <v>2.0379209999999998E-2</v>
      </c>
      <c r="C7" s="31">
        <v>5.6557040000000003E-2</v>
      </c>
      <c r="D7" s="24">
        <v>5.0796620000000001E-2</v>
      </c>
      <c r="E7" s="37">
        <v>168.26583463</v>
      </c>
      <c r="F7" s="37">
        <f t="shared" si="0"/>
        <v>137.28576583568642</v>
      </c>
      <c r="G7" t="s">
        <v>652</v>
      </c>
      <c r="H7" s="31">
        <f t="shared" si="1"/>
        <v>2.0379209999999998E-2</v>
      </c>
      <c r="I7" s="31" t="str">
        <f t="shared" si="2"/>
        <v/>
      </c>
    </row>
    <row r="8" spans="1:9" ht="15" customHeight="1" x14ac:dyDescent="0.25">
      <c r="A8">
        <v>2020</v>
      </c>
      <c r="B8" s="31">
        <v>2.0601000000000001E-2</v>
      </c>
      <c r="C8" s="31">
        <v>3.1253759999999998E-2</v>
      </c>
      <c r="D8" s="24">
        <v>4.8337989999999997E-2</v>
      </c>
      <c r="E8" s="37">
        <v>180.83659574999999</v>
      </c>
      <c r="F8" s="37">
        <f t="shared" si="0"/>
        <v>147.54207586613023</v>
      </c>
      <c r="G8" t="s">
        <v>652</v>
      </c>
      <c r="H8" s="31">
        <f t="shared" si="1"/>
        <v>2.0601000000000001E-2</v>
      </c>
      <c r="I8" s="31" t="str">
        <f t="shared" si="2"/>
        <v/>
      </c>
    </row>
    <row r="9" spans="1:9" ht="15" customHeight="1" x14ac:dyDescent="0.25">
      <c r="A9">
        <v>2021</v>
      </c>
      <c r="B9" s="31">
        <v>2.1810260000000001E-2</v>
      </c>
      <c r="C9" s="31">
        <v>0.18159117</v>
      </c>
      <c r="D9" s="24">
        <v>3.7766719999999997E-2</v>
      </c>
      <c r="E9" s="37">
        <v>255.45304798000001</v>
      </c>
      <c r="F9" s="37">
        <f t="shared" si="0"/>
        <v>208.42060661993727</v>
      </c>
      <c r="G9" t="s">
        <v>652</v>
      </c>
      <c r="H9" s="31">
        <f t="shared" si="1"/>
        <v>2.1810260000000001E-2</v>
      </c>
      <c r="I9" s="31" t="str">
        <f t="shared" si="2"/>
        <v/>
      </c>
    </row>
    <row r="10" spans="1:9" ht="15" customHeight="1" x14ac:dyDescent="0.25">
      <c r="A10">
        <v>2022</v>
      </c>
      <c r="B10" s="31">
        <v>2.528859E-2</v>
      </c>
      <c r="C10" s="31">
        <v>0.25601942999999999</v>
      </c>
      <c r="D10" s="24">
        <v>4.6492600000000002E-2</v>
      </c>
      <c r="E10" s="37">
        <v>212.57009350999999</v>
      </c>
      <c r="F10" s="37">
        <f t="shared" si="0"/>
        <v>173.4329975271215</v>
      </c>
      <c r="G10" t="s">
        <v>652</v>
      </c>
      <c r="H10" s="31">
        <f t="shared" si="1"/>
        <v>2.528859E-2</v>
      </c>
      <c r="I10" s="31" t="str">
        <f t="shared" si="2"/>
        <v/>
      </c>
    </row>
    <row r="11" spans="1:9" ht="15" customHeight="1" x14ac:dyDescent="0.25">
      <c r="A11">
        <v>2023</v>
      </c>
      <c r="B11" s="31">
        <v>3.5278770000000001E-2</v>
      </c>
      <c r="C11" s="31">
        <v>4.6033749999999998E-2</v>
      </c>
      <c r="D11" s="24">
        <v>5.1572890000000003E-2</v>
      </c>
      <c r="E11" s="37">
        <v>215.60642007000001</v>
      </c>
      <c r="F11" s="37">
        <f t="shared" si="0"/>
        <v>175.91029434755708</v>
      </c>
      <c r="G11" t="s">
        <v>652</v>
      </c>
      <c r="H11" s="31">
        <f t="shared" si="1"/>
        <v>3.5278770000000001E-2</v>
      </c>
      <c r="I11" s="31" t="str">
        <f t="shared" si="2"/>
        <v/>
      </c>
    </row>
    <row r="12" spans="1:9" ht="15" customHeight="1" x14ac:dyDescent="0.25">
      <c r="A12">
        <v>2024</v>
      </c>
      <c r="B12" s="31">
        <v>2.413096E-2</v>
      </c>
      <c r="C12" s="31">
        <v>-4.4370260000000002E-2</v>
      </c>
      <c r="D12" s="24">
        <v>5.2849069999999998E-2</v>
      </c>
      <c r="E12" s="37">
        <v>215.84773974999999</v>
      </c>
      <c r="F12" s="37">
        <f t="shared" si="0"/>
        <v>176.10718373483448</v>
      </c>
      <c r="G12" t="s">
        <v>652</v>
      </c>
      <c r="H12" s="31">
        <f t="shared" si="1"/>
        <v>2.413096E-2</v>
      </c>
      <c r="I12" s="31" t="str">
        <f t="shared" si="2"/>
        <v/>
      </c>
    </row>
    <row r="13" spans="1:9" ht="15" customHeight="1" x14ac:dyDescent="0.25">
      <c r="A13">
        <v>2025</v>
      </c>
      <c r="B13" s="31">
        <v>1.702586E-2</v>
      </c>
      <c r="C13" s="31">
        <v>-3.6628189999999998E-2</v>
      </c>
      <c r="D13" s="24">
        <v>5.4278229999999997E-2</v>
      </c>
      <c r="E13" s="37">
        <v>222.22214149999999</v>
      </c>
      <c r="F13" s="37">
        <f t="shared" si="0"/>
        <v>181.30796990700887</v>
      </c>
      <c r="G13" t="s">
        <v>652</v>
      </c>
      <c r="H13" s="31">
        <f t="shared" si="1"/>
        <v>1.702586E-2</v>
      </c>
      <c r="I13" s="31" t="str">
        <f t="shared" si="2"/>
        <v/>
      </c>
    </row>
    <row r="14" spans="1:9" ht="15" customHeight="1" x14ac:dyDescent="0.25">
      <c r="A14">
        <v>2026</v>
      </c>
      <c r="B14" s="31">
        <v>1.187E-2</v>
      </c>
      <c r="C14" s="31">
        <v>1.774707E-2</v>
      </c>
      <c r="D14" s="24">
        <v>5.4839539999999999E-2</v>
      </c>
      <c r="E14" s="37">
        <v>225.74958608</v>
      </c>
      <c r="F14" s="37">
        <f t="shared" si="0"/>
        <v>184.18596312335669</v>
      </c>
      <c r="G14" t="s">
        <v>653</v>
      </c>
      <c r="H14" s="31" t="str">
        <f t="shared" si="1"/>
        <v/>
      </c>
      <c r="I14" s="31">
        <f t="shared" si="2"/>
        <v>1.187E-2</v>
      </c>
    </row>
    <row r="15" spans="1:9" ht="15" customHeight="1" x14ac:dyDescent="0.25">
      <c r="A15">
        <v>2027</v>
      </c>
      <c r="B15" s="31">
        <v>1.4069679999999999E-2</v>
      </c>
      <c r="C15" s="31">
        <v>3.4207439999999999E-2</v>
      </c>
      <c r="G15" t="s">
        <v>653</v>
      </c>
      <c r="H15" s="31" t="str">
        <f t="shared" si="1"/>
        <v/>
      </c>
      <c r="I15" s="31">
        <f t="shared" si="2"/>
        <v>1.4069679999999999E-2</v>
      </c>
    </row>
    <row r="16" spans="1:9" ht="15" customHeight="1" x14ac:dyDescent="0.25">
      <c r="A16">
        <v>2028</v>
      </c>
      <c r="B16" s="31">
        <v>2.0159659999999999E-2</v>
      </c>
      <c r="C16" s="31">
        <v>2.864914E-2</v>
      </c>
      <c r="G16" t="s">
        <v>653</v>
      </c>
      <c r="H16" s="31" t="str">
        <f t="shared" si="1"/>
        <v/>
      </c>
      <c r="I16" s="31">
        <f t="shared" si="2"/>
        <v>2.0159659999999999E-2</v>
      </c>
    </row>
    <row r="17" spans="1:9" ht="15" customHeight="1" x14ac:dyDescent="0.25">
      <c r="A17">
        <v>2029</v>
      </c>
      <c r="B17" s="31">
        <v>1.7079710000000001E-2</v>
      </c>
      <c r="C17" s="31">
        <v>3.008883E-2</v>
      </c>
      <c r="G17" t="s">
        <v>653</v>
      </c>
      <c r="H17" s="31" t="str">
        <f t="shared" si="1"/>
        <v/>
      </c>
      <c r="I17" s="31">
        <f t="shared" si="2"/>
        <v>1.7079710000000001E-2</v>
      </c>
    </row>
    <row r="18" spans="1:9" ht="15" customHeight="1" x14ac:dyDescent="0.25">
      <c r="A18">
        <v>2030</v>
      </c>
      <c r="B18" s="31">
        <v>1.6869749999999999E-2</v>
      </c>
      <c r="C18" s="31">
        <v>2.965373E-2</v>
      </c>
      <c r="G18" t="s">
        <v>653</v>
      </c>
      <c r="H18" s="31" t="str">
        <f t="shared" si="1"/>
        <v/>
      </c>
      <c r="I18" s="31">
        <f t="shared" si="2"/>
        <v>1.6869749999999999E-2</v>
      </c>
    </row>
    <row r="20" spans="1:9" ht="15" customHeight="1" x14ac:dyDescent="0.25">
      <c r="A20" t="s">
        <v>221</v>
      </c>
    </row>
    <row r="21" spans="1:9" ht="15" customHeight="1" x14ac:dyDescent="0.25">
      <c r="A21" t="s">
        <v>654</v>
      </c>
    </row>
    <row r="22" spans="1:9" ht="15" customHeight="1" x14ac:dyDescent="0.25">
      <c r="A22" t="s">
        <v>655</v>
      </c>
    </row>
    <row r="23" spans="1:9" ht="15" customHeight="1" x14ac:dyDescent="0.25">
      <c r="A23" t="s">
        <v>656</v>
      </c>
    </row>
    <row r="24" spans="1:9" ht="15" customHeight="1" x14ac:dyDescent="0.25">
      <c r="A24" t="s">
        <v>657</v>
      </c>
    </row>
  </sheetData>
  <pageMargins left="0.75" right="0.75" top="1" bottom="1"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86"/>
  <sheetViews>
    <sheetView zoomScaleNormal="100" workbookViewId="0">
      <selection activeCell="K22" sqref="K22"/>
    </sheetView>
  </sheetViews>
  <sheetFormatPr defaultColWidth="8.7109375" defaultRowHeight="15" x14ac:dyDescent="0.25"/>
  <cols>
    <col min="1" max="1" width="30" customWidth="1"/>
    <col min="2" max="16" width="12.7109375" customWidth="1"/>
  </cols>
  <sheetData>
    <row r="1" spans="1:14" ht="15" customHeight="1" x14ac:dyDescent="0.25">
      <c r="A1" s="1" t="s">
        <v>658</v>
      </c>
    </row>
    <row r="2" spans="1:14" ht="15" customHeight="1" x14ac:dyDescent="0.25">
      <c r="A2" s="1" t="s">
        <v>659</v>
      </c>
      <c r="B2" s="1" t="s">
        <v>660</v>
      </c>
      <c r="C2" s="1" t="s">
        <v>612</v>
      </c>
      <c r="D2" s="1" t="s">
        <v>661</v>
      </c>
      <c r="E2" s="1" t="s">
        <v>662</v>
      </c>
      <c r="F2" s="1" t="s">
        <v>663</v>
      </c>
      <c r="G2" s="1" t="s">
        <v>664</v>
      </c>
      <c r="H2" s="1" t="s">
        <v>665</v>
      </c>
      <c r="I2" s="1" t="s">
        <v>666</v>
      </c>
      <c r="J2" s="1" t="s">
        <v>667</v>
      </c>
      <c r="K2" s="1" t="s">
        <v>668</v>
      </c>
      <c r="L2" s="1" t="s">
        <v>669</v>
      </c>
      <c r="M2" s="1" t="s">
        <v>670</v>
      </c>
      <c r="N2" s="1" t="s">
        <v>671</v>
      </c>
    </row>
    <row r="3" spans="1:14" ht="15" customHeight="1" x14ac:dyDescent="0.25">
      <c r="A3" t="s">
        <v>672</v>
      </c>
      <c r="B3">
        <v>15</v>
      </c>
      <c r="C3" s="5">
        <v>3644663309</v>
      </c>
      <c r="D3" s="5">
        <v>29270623</v>
      </c>
      <c r="E3" s="5">
        <v>34708883</v>
      </c>
      <c r="F3" s="31">
        <v>9.5232069624349505E-3</v>
      </c>
      <c r="G3" s="5">
        <v>-6960003</v>
      </c>
      <c r="H3" s="31">
        <v>-0.23778117056135101</v>
      </c>
      <c r="I3" s="31">
        <v>7.4380881909273194E-2</v>
      </c>
      <c r="J3" s="43">
        <v>14.238724361385801</v>
      </c>
      <c r="K3" s="44">
        <v>2.0033460780160099E-2</v>
      </c>
      <c r="L3">
        <v>2</v>
      </c>
      <c r="M3">
        <v>15</v>
      </c>
      <c r="N3" s="45">
        <v>168.903071030696</v>
      </c>
    </row>
    <row r="4" spans="1:14" ht="15" customHeight="1" x14ac:dyDescent="0.25">
      <c r="A4" t="s">
        <v>673</v>
      </c>
      <c r="B4">
        <v>16</v>
      </c>
      <c r="C4" s="5">
        <v>5807315075</v>
      </c>
      <c r="D4" s="5">
        <v>50248214</v>
      </c>
      <c r="E4" s="5">
        <v>69619883</v>
      </c>
      <c r="F4" s="31">
        <v>1.19883082114328E-2</v>
      </c>
      <c r="G4" s="5">
        <v>38473493</v>
      </c>
      <c r="H4" s="31">
        <v>0.76566886536504597</v>
      </c>
      <c r="I4" s="31">
        <v>5.31383767582147E-2</v>
      </c>
      <c r="J4" s="43">
        <v>8.3971279324380195</v>
      </c>
      <c r="K4" s="44">
        <v>2.7422245582289201E-2</v>
      </c>
      <c r="L4">
        <v>0</v>
      </c>
      <c r="M4">
        <v>16</v>
      </c>
      <c r="N4" s="45">
        <v>80.940788102322799</v>
      </c>
    </row>
    <row r="5" spans="1:14" ht="15" customHeight="1" x14ac:dyDescent="0.25">
      <c r="A5" t="s">
        <v>674</v>
      </c>
      <c r="B5">
        <v>28</v>
      </c>
      <c r="C5" s="5">
        <v>7974249231</v>
      </c>
      <c r="D5" s="5">
        <v>154442906</v>
      </c>
      <c r="E5" s="5">
        <v>219089631</v>
      </c>
      <c r="F5" s="31">
        <v>2.7474640515158001E-2</v>
      </c>
      <c r="G5" s="5">
        <v>89952175</v>
      </c>
      <c r="H5" s="31">
        <v>0.58242995634904704</v>
      </c>
      <c r="I5" s="31">
        <v>8.0643807847725901E-2</v>
      </c>
      <c r="J5" s="43">
        <v>10.831515720666401</v>
      </c>
      <c r="K5" s="44">
        <v>2.4284074736064601E-2</v>
      </c>
      <c r="L5">
        <v>2</v>
      </c>
      <c r="M5">
        <v>28</v>
      </c>
      <c r="N5" s="45">
        <v>132.12121656885799</v>
      </c>
    </row>
    <row r="6" spans="1:14" ht="15" customHeight="1" x14ac:dyDescent="0.25">
      <c r="A6" t="s">
        <v>675</v>
      </c>
      <c r="B6">
        <v>16</v>
      </c>
      <c r="C6" s="5">
        <v>5203954661</v>
      </c>
      <c r="D6" s="5">
        <v>74539136</v>
      </c>
      <c r="E6" s="5">
        <v>74464102</v>
      </c>
      <c r="F6" s="31">
        <v>1.43091373485738E-2</v>
      </c>
      <c r="G6" s="5">
        <v>19657139</v>
      </c>
      <c r="H6" s="31">
        <v>0.26371568084717301</v>
      </c>
      <c r="I6" s="31">
        <v>8.9128628297955106E-2</v>
      </c>
      <c r="J6" s="43">
        <v>15.2387479874579</v>
      </c>
      <c r="K6" s="44">
        <v>-8.23124202841897E-3</v>
      </c>
      <c r="L6">
        <v>9</v>
      </c>
      <c r="M6">
        <v>16</v>
      </c>
      <c r="N6" s="45">
        <v>253.348704226922</v>
      </c>
    </row>
    <row r="7" spans="1:14" ht="15" customHeight="1" x14ac:dyDescent="0.25">
      <c r="A7" t="s">
        <v>676</v>
      </c>
    </row>
    <row r="10" spans="1:14" ht="15" customHeight="1" x14ac:dyDescent="0.25">
      <c r="A10" s="1" t="s">
        <v>677</v>
      </c>
    </row>
    <row r="11" spans="1:14" ht="15" customHeight="1" x14ac:dyDescent="0.25">
      <c r="A11" s="1" t="s">
        <v>678</v>
      </c>
      <c r="B11" s="1" t="s">
        <v>659</v>
      </c>
      <c r="C11" s="1" t="s">
        <v>616</v>
      </c>
      <c r="D11" s="1" t="s">
        <v>679</v>
      </c>
      <c r="E11" s="1" t="s">
        <v>680</v>
      </c>
      <c r="F11" s="1" t="s">
        <v>612</v>
      </c>
      <c r="G11" s="1" t="s">
        <v>661</v>
      </c>
      <c r="H11" s="1" t="s">
        <v>662</v>
      </c>
      <c r="I11" s="1" t="s">
        <v>663</v>
      </c>
      <c r="J11" s="1" t="s">
        <v>664</v>
      </c>
      <c r="K11" s="1" t="s">
        <v>681</v>
      </c>
    </row>
    <row r="12" spans="1:14" ht="15" customHeight="1" x14ac:dyDescent="0.25">
      <c r="A12" t="s">
        <v>682</v>
      </c>
      <c r="B12" t="s">
        <v>674</v>
      </c>
      <c r="C12" s="31">
        <v>0.14495</v>
      </c>
      <c r="D12" s="43">
        <v>14.0496</v>
      </c>
      <c r="E12" s="44">
        <v>-1.6389999999999998E-2</v>
      </c>
      <c r="F12" s="5">
        <v>179695284</v>
      </c>
      <c r="G12" s="5">
        <v>8441944</v>
      </c>
      <c r="H12" s="5">
        <v>15255329</v>
      </c>
      <c r="I12" s="31">
        <v>8.4900000000000003E-2</v>
      </c>
      <c r="J12" s="5">
        <v>2732824</v>
      </c>
      <c r="K12" s="45">
        <v>175</v>
      </c>
    </row>
    <row r="13" spans="1:14" ht="15" customHeight="1" x14ac:dyDescent="0.25">
      <c r="A13" t="s">
        <v>683</v>
      </c>
      <c r="B13" t="s">
        <v>674</v>
      </c>
      <c r="C13" s="31">
        <v>5.5079999999999997E-2</v>
      </c>
      <c r="D13" s="43">
        <v>9.9832000000000001</v>
      </c>
      <c r="E13" s="44">
        <v>4.4330000000000001E-2</v>
      </c>
      <c r="F13" s="5">
        <v>158944237</v>
      </c>
      <c r="G13" s="5">
        <v>4801338</v>
      </c>
      <c r="H13" s="5">
        <v>11702722</v>
      </c>
      <c r="I13" s="31">
        <v>7.3630000000000001E-2</v>
      </c>
      <c r="J13" s="5">
        <v>2375093</v>
      </c>
      <c r="K13" s="45">
        <v>112</v>
      </c>
    </row>
    <row r="14" spans="1:14" ht="15" customHeight="1" x14ac:dyDescent="0.25">
      <c r="A14" t="s">
        <v>684</v>
      </c>
      <c r="B14" t="s">
        <v>674</v>
      </c>
      <c r="C14" s="31">
        <v>6.0260000000000001E-2</v>
      </c>
      <c r="D14" s="43">
        <v>19.3386</v>
      </c>
      <c r="E14" s="44">
        <v>4.0460000000000003E-2</v>
      </c>
      <c r="F14" s="5">
        <v>325271658</v>
      </c>
      <c r="G14" s="5">
        <v>7484745</v>
      </c>
      <c r="H14" s="5">
        <v>22712323</v>
      </c>
      <c r="I14" s="31">
        <v>6.9830000000000003E-2</v>
      </c>
      <c r="J14" s="5">
        <v>6635374</v>
      </c>
      <c r="K14" s="45">
        <v>262</v>
      </c>
    </row>
    <row r="15" spans="1:14" ht="15" customHeight="1" x14ac:dyDescent="0.25">
      <c r="A15" t="s">
        <v>685</v>
      </c>
      <c r="B15" t="s">
        <v>674</v>
      </c>
      <c r="C15" s="31">
        <v>0.11459999999999999</v>
      </c>
      <c r="D15" s="43">
        <v>9.1160999999999994</v>
      </c>
      <c r="E15" s="44">
        <v>3.2969999999999999E-2</v>
      </c>
      <c r="F15" s="5">
        <v>161493559</v>
      </c>
      <c r="G15" s="5">
        <v>5613915</v>
      </c>
      <c r="H15" s="5">
        <v>9565882</v>
      </c>
      <c r="I15" s="31">
        <v>5.9229999999999998E-2</v>
      </c>
      <c r="J15" s="5">
        <v>4640150</v>
      </c>
      <c r="K15" s="45">
        <v>135</v>
      </c>
    </row>
    <row r="16" spans="1:14" ht="15" customHeight="1" x14ac:dyDescent="0.25">
      <c r="A16" t="s">
        <v>686</v>
      </c>
      <c r="B16" t="s">
        <v>674</v>
      </c>
      <c r="C16" s="31">
        <v>7.1220000000000006E-2</v>
      </c>
      <c r="D16" s="43">
        <v>12.739800000000001</v>
      </c>
      <c r="E16" s="44">
        <v>2.5180000000000001E-2</v>
      </c>
      <c r="F16" s="5">
        <v>109276655</v>
      </c>
      <c r="G16" s="5">
        <v>3491859</v>
      </c>
      <c r="H16" s="5">
        <v>5810442</v>
      </c>
      <c r="I16" s="31">
        <v>5.3170000000000002E-2</v>
      </c>
      <c r="J16" s="5">
        <v>2707682</v>
      </c>
      <c r="K16" s="45">
        <v>156</v>
      </c>
    </row>
    <row r="17" spans="1:11" ht="15" customHeight="1" x14ac:dyDescent="0.25">
      <c r="A17" t="s">
        <v>687</v>
      </c>
      <c r="B17" t="s">
        <v>675</v>
      </c>
      <c r="C17" s="31">
        <v>0.12928000000000001</v>
      </c>
      <c r="D17" s="43">
        <v>9.2989999999999995</v>
      </c>
      <c r="E17" s="44">
        <v>4.6800000000000001E-3</v>
      </c>
      <c r="F17" s="5">
        <v>134969154</v>
      </c>
      <c r="G17" s="5">
        <v>4777499</v>
      </c>
      <c r="H17" s="5">
        <v>5587931</v>
      </c>
      <c r="I17" s="31">
        <v>4.1399999999999999E-2</v>
      </c>
      <c r="J17" s="5">
        <v>2126318</v>
      </c>
      <c r="K17" s="45">
        <v>139</v>
      </c>
    </row>
    <row r="18" spans="1:11" ht="15" customHeight="1" x14ac:dyDescent="0.25">
      <c r="A18" t="s">
        <v>688</v>
      </c>
      <c r="B18" t="s">
        <v>675</v>
      </c>
      <c r="C18" s="31">
        <v>0.11464000000000001</v>
      </c>
      <c r="D18" s="43">
        <v>13.0016</v>
      </c>
      <c r="E18" s="44">
        <v>3.3099999999999997E-2</v>
      </c>
      <c r="F18" s="5">
        <v>519987280</v>
      </c>
      <c r="G18" s="5">
        <v>16479972</v>
      </c>
      <c r="H18" s="5">
        <v>21388246</v>
      </c>
      <c r="I18" s="31">
        <v>4.113E-2</v>
      </c>
      <c r="J18" s="5">
        <v>19926100</v>
      </c>
      <c r="K18" s="45">
        <v>188</v>
      </c>
    </row>
    <row r="19" spans="1:11" ht="15" customHeight="1" x14ac:dyDescent="0.25">
      <c r="A19" t="s">
        <v>689</v>
      </c>
      <c r="B19" t="s">
        <v>674</v>
      </c>
      <c r="C19" s="31">
        <v>6.3960000000000003E-2</v>
      </c>
      <c r="D19" s="43">
        <v>12.0037</v>
      </c>
      <c r="E19" s="44">
        <v>2.5069999999999999E-2</v>
      </c>
      <c r="F19" s="5">
        <v>294555062</v>
      </c>
      <c r="G19" s="5">
        <v>6238320</v>
      </c>
      <c r="H19" s="5">
        <v>11039079</v>
      </c>
      <c r="I19" s="31">
        <v>3.7479999999999999E-2</v>
      </c>
      <c r="J19" s="5">
        <v>2600257</v>
      </c>
      <c r="K19" s="45">
        <v>127</v>
      </c>
    </row>
    <row r="20" spans="1:11" ht="15" customHeight="1" x14ac:dyDescent="0.25">
      <c r="A20" t="s">
        <v>690</v>
      </c>
      <c r="B20" t="s">
        <v>675</v>
      </c>
      <c r="C20" s="31">
        <v>9.4799999999999995E-2</v>
      </c>
      <c r="D20" s="43">
        <v>9.4786000000000001</v>
      </c>
      <c r="E20" s="44">
        <v>2.315E-2</v>
      </c>
      <c r="F20" s="5">
        <v>159273542</v>
      </c>
      <c r="G20" s="5">
        <v>2353675</v>
      </c>
      <c r="H20" s="5">
        <v>5762977</v>
      </c>
      <c r="I20" s="31">
        <v>3.6179999999999997E-2</v>
      </c>
      <c r="J20" s="5">
        <v>1249543</v>
      </c>
      <c r="K20" s="45">
        <v>136</v>
      </c>
    </row>
    <row r="21" spans="1:11" ht="15" customHeight="1" x14ac:dyDescent="0.25">
      <c r="A21" t="s">
        <v>691</v>
      </c>
      <c r="B21" t="s">
        <v>674</v>
      </c>
      <c r="C21" s="31">
        <v>5.5559999999999998E-2</v>
      </c>
      <c r="D21" s="43">
        <v>7.5217000000000001</v>
      </c>
      <c r="E21" s="44">
        <v>5.5870000000000003E-2</v>
      </c>
      <c r="F21" s="5">
        <v>267464029</v>
      </c>
      <c r="G21" s="5">
        <v>3691723</v>
      </c>
      <c r="H21" s="5">
        <v>9324439</v>
      </c>
      <c r="I21" s="31">
        <v>3.4860000000000002E-2</v>
      </c>
      <c r="J21" s="5">
        <v>826927</v>
      </c>
      <c r="K21" s="45">
        <v>76</v>
      </c>
    </row>
    <row r="22" spans="1:11" ht="15" customHeight="1" x14ac:dyDescent="0.25">
      <c r="A22" t="s">
        <v>692</v>
      </c>
      <c r="B22" t="s">
        <v>674</v>
      </c>
      <c r="C22" s="31">
        <v>7.3300000000000004E-2</v>
      </c>
      <c r="D22" s="43">
        <v>9.4280000000000008</v>
      </c>
      <c r="E22" s="44">
        <v>1.451E-2</v>
      </c>
      <c r="F22" s="5">
        <v>868994775</v>
      </c>
      <c r="G22" s="5">
        <v>22143481</v>
      </c>
      <c r="H22" s="5">
        <v>28746486</v>
      </c>
      <c r="I22" s="31">
        <v>3.3079999999999998E-2</v>
      </c>
      <c r="J22" s="5">
        <v>13368138</v>
      </c>
      <c r="K22" s="45">
        <v>110</v>
      </c>
    </row>
    <row r="23" spans="1:11" ht="15" customHeight="1" x14ac:dyDescent="0.25">
      <c r="A23" t="s">
        <v>693</v>
      </c>
      <c r="B23" t="s">
        <v>673</v>
      </c>
      <c r="C23" s="31">
        <v>6.6909999999999997E-2</v>
      </c>
      <c r="D23" s="43">
        <v>8.3892000000000007</v>
      </c>
      <c r="E23" s="44">
        <v>5.391E-2</v>
      </c>
      <c r="F23" s="5">
        <v>391854662</v>
      </c>
      <c r="G23" s="5">
        <v>4844599</v>
      </c>
      <c r="H23" s="5">
        <v>12392241</v>
      </c>
      <c r="I23" s="31">
        <v>3.1620000000000002E-2</v>
      </c>
      <c r="J23" s="5">
        <v>9839687</v>
      </c>
      <c r="K23" s="45">
        <v>99</v>
      </c>
    </row>
    <row r="24" spans="1:11" ht="15" customHeight="1" x14ac:dyDescent="0.25">
      <c r="A24" t="s">
        <v>694</v>
      </c>
      <c r="B24" t="s">
        <v>674</v>
      </c>
      <c r="C24" s="31">
        <v>8.6029999999999995E-2</v>
      </c>
      <c r="D24" s="43">
        <v>10.223000000000001</v>
      </c>
      <c r="E24" s="44">
        <v>3.5979999999999998E-2</v>
      </c>
      <c r="F24" s="5">
        <v>1237572552</v>
      </c>
      <c r="G24" s="5">
        <v>26152244</v>
      </c>
      <c r="H24" s="5">
        <v>39034743</v>
      </c>
      <c r="I24" s="31">
        <v>3.1539999999999999E-2</v>
      </c>
      <c r="J24" s="5">
        <v>29371611</v>
      </c>
      <c r="K24" s="45">
        <v>146</v>
      </c>
    </row>
    <row r="25" spans="1:11" ht="15" customHeight="1" x14ac:dyDescent="0.25">
      <c r="A25" t="s">
        <v>695</v>
      </c>
      <c r="B25" t="s">
        <v>672</v>
      </c>
      <c r="C25" s="31">
        <v>9.3979999999999994E-2</v>
      </c>
      <c r="D25" s="43">
        <v>10.8916</v>
      </c>
      <c r="E25" s="44">
        <v>4.7550000000000002E-2</v>
      </c>
      <c r="F25" s="5">
        <v>117732879</v>
      </c>
      <c r="G25" s="5">
        <v>687545</v>
      </c>
      <c r="H25" s="5">
        <v>3567504</v>
      </c>
      <c r="I25" s="31">
        <v>3.0300000000000001E-2</v>
      </c>
      <c r="J25" s="5">
        <v>-811139</v>
      </c>
      <c r="K25" s="45">
        <v>113</v>
      </c>
    </row>
    <row r="26" spans="1:11" ht="15" customHeight="1" x14ac:dyDescent="0.25">
      <c r="A26" t="s">
        <v>696</v>
      </c>
      <c r="B26" t="s">
        <v>672</v>
      </c>
      <c r="C26" s="31">
        <v>4.854E-2</v>
      </c>
      <c r="D26" s="43">
        <v>8.6771999999999991</v>
      </c>
      <c r="E26" s="44">
        <v>3.0710000000000001E-2</v>
      </c>
      <c r="F26" s="5">
        <v>111809852</v>
      </c>
      <c r="G26" s="5">
        <v>96060</v>
      </c>
      <c r="H26" s="5">
        <v>3234000</v>
      </c>
      <c r="I26" s="31">
        <v>2.8920000000000001E-2</v>
      </c>
      <c r="J26" s="5">
        <v>39797</v>
      </c>
      <c r="K26" s="45">
        <v>60</v>
      </c>
    </row>
    <row r="27" spans="1:11" ht="15" customHeight="1" x14ac:dyDescent="0.25">
      <c r="A27" t="s">
        <v>697</v>
      </c>
      <c r="B27" t="s">
        <v>674</v>
      </c>
      <c r="C27" s="31">
        <v>8.3849999999999994E-2</v>
      </c>
      <c r="D27" s="43">
        <v>9.9847999999999999</v>
      </c>
      <c r="E27" s="44">
        <v>2.2689999999999998E-2</v>
      </c>
      <c r="F27" s="5">
        <v>870143997</v>
      </c>
      <c r="G27" s="5">
        <v>13285823</v>
      </c>
      <c r="H27" s="5">
        <v>23121493</v>
      </c>
      <c r="I27" s="31">
        <v>2.657E-2</v>
      </c>
      <c r="J27" s="5">
        <v>2240813</v>
      </c>
      <c r="K27" s="45">
        <v>128</v>
      </c>
    </row>
    <row r="28" spans="1:11" ht="15" customHeight="1" x14ac:dyDescent="0.25">
      <c r="A28" t="s">
        <v>698</v>
      </c>
      <c r="B28" t="s">
        <v>673</v>
      </c>
      <c r="C28" s="31">
        <v>2.8000000000000001E-2</v>
      </c>
      <c r="D28" s="43">
        <v>8.6834000000000007</v>
      </c>
      <c r="E28" s="44">
        <v>1.4959999999999999E-2</v>
      </c>
      <c r="F28" s="5">
        <v>115343430</v>
      </c>
      <c r="G28" s="5">
        <v>1131467</v>
      </c>
      <c r="H28" s="5">
        <v>2976860</v>
      </c>
      <c r="I28" s="31">
        <v>2.581E-2</v>
      </c>
      <c r="J28" s="5">
        <v>1040087</v>
      </c>
      <c r="K28" s="45">
        <v>86</v>
      </c>
    </row>
    <row r="29" spans="1:11" ht="15" customHeight="1" x14ac:dyDescent="0.25">
      <c r="A29" t="s">
        <v>699</v>
      </c>
      <c r="B29" t="s">
        <v>674</v>
      </c>
      <c r="C29" s="31">
        <v>0.10435999999999999</v>
      </c>
      <c r="D29" s="43">
        <v>10.9655</v>
      </c>
      <c r="E29" s="44">
        <v>9.9699999999999997E-3</v>
      </c>
      <c r="F29" s="5">
        <v>192592939</v>
      </c>
      <c r="G29" s="5">
        <v>3698440</v>
      </c>
      <c r="H29" s="5">
        <v>4785709</v>
      </c>
      <c r="I29" s="31">
        <v>2.4850000000000001E-2</v>
      </c>
      <c r="J29" s="5">
        <v>2097136</v>
      </c>
      <c r="K29" s="45">
        <v>124</v>
      </c>
    </row>
    <row r="30" spans="1:11" ht="15" customHeight="1" x14ac:dyDescent="0.25">
      <c r="A30" t="s">
        <v>700</v>
      </c>
      <c r="B30" t="s">
        <v>675</v>
      </c>
      <c r="C30" s="31">
        <v>0.11787</v>
      </c>
      <c r="D30" s="43">
        <v>14.0055</v>
      </c>
      <c r="E30" s="44">
        <v>4.5799999999999999E-3</v>
      </c>
      <c r="F30" s="5">
        <v>199789981</v>
      </c>
      <c r="G30" s="5">
        <v>6835426</v>
      </c>
      <c r="H30" s="5">
        <v>4485515</v>
      </c>
      <c r="I30" s="31">
        <v>2.2450000000000001E-2</v>
      </c>
      <c r="J30" s="5">
        <v>3441696</v>
      </c>
      <c r="K30" s="45">
        <v>216</v>
      </c>
    </row>
    <row r="31" spans="1:11" ht="15" customHeight="1" x14ac:dyDescent="0.25">
      <c r="A31" t="s">
        <v>701</v>
      </c>
      <c r="B31" t="s">
        <v>674</v>
      </c>
      <c r="C31" s="31">
        <v>0.10363</v>
      </c>
      <c r="D31" s="43">
        <v>9.9483999999999995</v>
      </c>
      <c r="E31" s="44">
        <v>3.635E-2</v>
      </c>
      <c r="F31" s="5">
        <v>406536409</v>
      </c>
      <c r="G31" s="5">
        <v>9025854</v>
      </c>
      <c r="H31" s="5">
        <v>8816583</v>
      </c>
      <c r="I31" s="31">
        <v>2.1690000000000001E-2</v>
      </c>
      <c r="J31" s="5">
        <v>2106458</v>
      </c>
      <c r="K31" s="45">
        <v>115</v>
      </c>
    </row>
    <row r="32" spans="1:11" ht="15" customHeight="1" x14ac:dyDescent="0.25">
      <c r="A32" t="s">
        <v>702</v>
      </c>
      <c r="B32" t="s">
        <v>672</v>
      </c>
      <c r="C32" s="31">
        <v>7.0970000000000005E-2</v>
      </c>
      <c r="D32" s="43">
        <v>7.452</v>
      </c>
      <c r="E32" s="44">
        <v>4.3770000000000003E-2</v>
      </c>
      <c r="F32" s="5">
        <v>124565649</v>
      </c>
      <c r="G32" s="5">
        <v>1349039</v>
      </c>
      <c r="H32" s="5">
        <v>2643610</v>
      </c>
      <c r="I32" s="31">
        <v>2.1219999999999999E-2</v>
      </c>
      <c r="J32" s="5">
        <v>450723</v>
      </c>
      <c r="K32" s="45">
        <v>67</v>
      </c>
    </row>
    <row r="33" spans="1:11" ht="15" customHeight="1" x14ac:dyDescent="0.25">
      <c r="A33" t="s">
        <v>703</v>
      </c>
      <c r="B33" t="s">
        <v>675</v>
      </c>
      <c r="C33" s="31">
        <v>9.3109999999999998E-2</v>
      </c>
      <c r="D33" s="43">
        <v>11.6403</v>
      </c>
      <c r="E33" s="44">
        <v>-2.2460000000000001E-2</v>
      </c>
      <c r="F33" s="5">
        <v>287850817</v>
      </c>
      <c r="G33" s="5">
        <v>2817331</v>
      </c>
      <c r="H33" s="5">
        <v>5867729</v>
      </c>
      <c r="I33" s="31">
        <v>2.0379999999999999E-2</v>
      </c>
      <c r="J33" s="5">
        <v>-743829</v>
      </c>
      <c r="K33" s="45">
        <v>169</v>
      </c>
    </row>
    <row r="34" spans="1:11" ht="15" customHeight="1" x14ac:dyDescent="0.25">
      <c r="A34" t="s">
        <v>704</v>
      </c>
      <c r="B34" t="s">
        <v>673</v>
      </c>
      <c r="C34" s="31">
        <v>7.0499999999999993E-2</v>
      </c>
      <c r="D34" s="43">
        <v>7.8540999999999999</v>
      </c>
      <c r="E34" s="44">
        <v>1.6809999999999999E-2</v>
      </c>
      <c r="F34" s="5">
        <v>110124055</v>
      </c>
      <c r="G34" s="5">
        <v>1464973</v>
      </c>
      <c r="H34" s="5">
        <v>2226736</v>
      </c>
      <c r="I34" s="31">
        <v>2.0219999999999998E-2</v>
      </c>
      <c r="J34" s="5">
        <v>76820</v>
      </c>
      <c r="K34" s="45">
        <v>82</v>
      </c>
    </row>
    <row r="35" spans="1:11" ht="15" customHeight="1" x14ac:dyDescent="0.25">
      <c r="A35" t="s">
        <v>705</v>
      </c>
      <c r="B35" t="s">
        <v>674</v>
      </c>
      <c r="C35" s="31">
        <v>4.6170000000000003E-2</v>
      </c>
      <c r="D35" s="43">
        <v>7.3936999999999999</v>
      </c>
      <c r="E35" s="44">
        <v>2.724E-2</v>
      </c>
      <c r="F35" s="5">
        <v>182724220</v>
      </c>
      <c r="G35" s="5">
        <v>2577679</v>
      </c>
      <c r="H35" s="5">
        <v>3601550</v>
      </c>
      <c r="I35" s="31">
        <v>1.9709999999999998E-2</v>
      </c>
      <c r="J35" s="5">
        <v>2628331</v>
      </c>
      <c r="K35" s="45">
        <v>67</v>
      </c>
    </row>
    <row r="36" spans="1:11" ht="15" customHeight="1" x14ac:dyDescent="0.25">
      <c r="A36" t="s">
        <v>706</v>
      </c>
      <c r="B36" t="s">
        <v>675</v>
      </c>
      <c r="C36" s="31">
        <v>7.8829999999999997E-2</v>
      </c>
      <c r="D36" s="43">
        <v>11.7662</v>
      </c>
      <c r="E36" s="44">
        <v>5.2599999999999999E-3</v>
      </c>
      <c r="F36" s="5">
        <v>264487579</v>
      </c>
      <c r="G36" s="5">
        <v>2807311</v>
      </c>
      <c r="H36" s="5">
        <v>4872676</v>
      </c>
      <c r="I36" s="31">
        <v>1.8419999999999999E-2</v>
      </c>
      <c r="J36" s="5">
        <v>-1851176</v>
      </c>
      <c r="K36" s="45">
        <v>181</v>
      </c>
    </row>
    <row r="37" spans="1:11" ht="15" customHeight="1" x14ac:dyDescent="0.25">
      <c r="A37" t="s">
        <v>707</v>
      </c>
      <c r="B37" t="s">
        <v>674</v>
      </c>
      <c r="C37" s="31">
        <v>6.343E-2</v>
      </c>
      <c r="D37" s="43">
        <v>10.8171</v>
      </c>
      <c r="E37" s="44">
        <v>3.075E-2</v>
      </c>
      <c r="F37" s="5">
        <v>140024619</v>
      </c>
      <c r="G37" s="5">
        <v>3822589</v>
      </c>
      <c r="H37" s="5">
        <v>2563950</v>
      </c>
      <c r="I37" s="31">
        <v>1.831E-2</v>
      </c>
      <c r="J37" s="5">
        <v>2283218</v>
      </c>
      <c r="K37" s="45">
        <v>112</v>
      </c>
    </row>
    <row r="38" spans="1:11" ht="15" customHeight="1" x14ac:dyDescent="0.25">
      <c r="A38" t="s">
        <v>708</v>
      </c>
      <c r="B38" t="s">
        <v>674</v>
      </c>
      <c r="C38" s="31">
        <v>8.0799999999999997E-2</v>
      </c>
      <c r="D38" s="43">
        <v>6.9930000000000003</v>
      </c>
      <c r="E38" s="44">
        <v>2.886E-2</v>
      </c>
      <c r="F38" s="5">
        <v>129608087</v>
      </c>
      <c r="G38" s="5">
        <v>641700</v>
      </c>
      <c r="H38" s="5">
        <v>2307350</v>
      </c>
      <c r="I38" s="31">
        <v>1.78E-2</v>
      </c>
      <c r="J38" s="5">
        <v>5882749</v>
      </c>
      <c r="K38" s="45">
        <v>78</v>
      </c>
    </row>
    <row r="39" spans="1:11" ht="15" customHeight="1" x14ac:dyDescent="0.25">
      <c r="A39" t="s">
        <v>709</v>
      </c>
      <c r="B39" t="s">
        <v>675</v>
      </c>
      <c r="C39" s="31">
        <v>8.4989999999999996E-2</v>
      </c>
      <c r="D39" s="43">
        <v>26.181699999999999</v>
      </c>
      <c r="E39" s="44">
        <v>8.1799999999999998E-3</v>
      </c>
      <c r="F39" s="5">
        <v>201680184</v>
      </c>
      <c r="G39" s="5">
        <v>3005294</v>
      </c>
      <c r="H39" s="5">
        <v>3476843</v>
      </c>
      <c r="I39" s="31">
        <v>1.7239999999999998E-2</v>
      </c>
      <c r="J39" s="5">
        <v>1138546</v>
      </c>
      <c r="K39" s="45">
        <v>372</v>
      </c>
    </row>
    <row r="40" spans="1:11" ht="15" customHeight="1" x14ac:dyDescent="0.25">
      <c r="A40" t="s">
        <v>710</v>
      </c>
      <c r="B40" t="s">
        <v>672</v>
      </c>
      <c r="C40" s="31">
        <v>7.7060000000000003E-2</v>
      </c>
      <c r="D40" s="43">
        <v>15.6648</v>
      </c>
      <c r="E40" s="44">
        <v>2.9219999999999999E-2</v>
      </c>
      <c r="F40" s="5">
        <v>328195476</v>
      </c>
      <c r="G40" s="5">
        <v>2745644</v>
      </c>
      <c r="H40" s="5">
        <v>5571960</v>
      </c>
      <c r="I40" s="31">
        <v>1.6979999999999999E-2</v>
      </c>
      <c r="J40" s="5">
        <v>1402112</v>
      </c>
      <c r="K40" s="45">
        <v>240</v>
      </c>
    </row>
    <row r="41" spans="1:11" ht="15" customHeight="1" x14ac:dyDescent="0.25">
      <c r="A41" t="s">
        <v>711</v>
      </c>
      <c r="B41" t="s">
        <v>673</v>
      </c>
      <c r="C41" s="31">
        <v>5.6860000000000001E-2</v>
      </c>
      <c r="D41" s="43">
        <v>7.3364000000000003</v>
      </c>
      <c r="E41" s="44">
        <v>2.077E-2</v>
      </c>
      <c r="F41" s="5">
        <v>381252828</v>
      </c>
      <c r="G41" s="5">
        <v>12294652</v>
      </c>
      <c r="H41" s="5">
        <v>6278420</v>
      </c>
      <c r="I41" s="31">
        <v>1.6469999999999999E-2</v>
      </c>
      <c r="J41" s="5">
        <v>7932947</v>
      </c>
      <c r="K41" s="45">
        <v>68</v>
      </c>
    </row>
    <row r="42" spans="1:11" ht="15" customHeight="1" x14ac:dyDescent="0.25">
      <c r="A42" t="s">
        <v>712</v>
      </c>
      <c r="B42" t="s">
        <v>674</v>
      </c>
      <c r="C42" s="31">
        <v>7.8359999999999999E-2</v>
      </c>
      <c r="D42" s="43">
        <v>20.794899999999998</v>
      </c>
      <c r="E42" s="44">
        <v>5.7400000000000003E-3</v>
      </c>
      <c r="F42" s="5">
        <v>282306788</v>
      </c>
      <c r="G42" s="5">
        <v>3174088</v>
      </c>
      <c r="H42" s="5">
        <v>4281883</v>
      </c>
      <c r="I42" s="31">
        <v>1.5169999999999999E-2</v>
      </c>
      <c r="J42" s="5">
        <v>-1811006</v>
      </c>
      <c r="K42" s="45">
        <v>278</v>
      </c>
    </row>
    <row r="43" spans="1:11" ht="15" customHeight="1" x14ac:dyDescent="0.25">
      <c r="A43" t="s">
        <v>713</v>
      </c>
      <c r="B43" t="s">
        <v>673</v>
      </c>
      <c r="C43" s="31">
        <v>4.3880000000000002E-2</v>
      </c>
      <c r="D43" s="43">
        <v>9.5106999999999999</v>
      </c>
      <c r="E43" s="44">
        <v>3.1960000000000002E-2</v>
      </c>
      <c r="F43" s="5">
        <v>439165502</v>
      </c>
      <c r="G43" s="5">
        <v>3101002</v>
      </c>
      <c r="H43" s="5">
        <v>6369298</v>
      </c>
      <c r="I43" s="31">
        <v>1.4500000000000001E-2</v>
      </c>
      <c r="J43" s="5">
        <v>-20381</v>
      </c>
      <c r="K43" s="45">
        <v>105</v>
      </c>
    </row>
    <row r="44" spans="1:11" ht="15" customHeight="1" x14ac:dyDescent="0.25">
      <c r="A44" t="s">
        <v>714</v>
      </c>
      <c r="B44" t="s">
        <v>673</v>
      </c>
      <c r="C44" s="31">
        <v>5.4440000000000002E-2</v>
      </c>
      <c r="D44" s="43">
        <v>10.068099999999999</v>
      </c>
      <c r="E44" s="44">
        <v>4.385E-2</v>
      </c>
      <c r="F44" s="5">
        <v>1379349213</v>
      </c>
      <c r="G44" s="5">
        <v>8706093</v>
      </c>
      <c r="H44" s="5">
        <v>19480468</v>
      </c>
      <c r="I44" s="31">
        <v>1.4120000000000001E-2</v>
      </c>
      <c r="J44" s="5">
        <v>5048535</v>
      </c>
      <c r="K44" s="45">
        <v>99</v>
      </c>
    </row>
    <row r="45" spans="1:11" ht="15" customHeight="1" x14ac:dyDescent="0.25">
      <c r="A45" t="s">
        <v>715</v>
      </c>
      <c r="B45" t="s">
        <v>674</v>
      </c>
      <c r="C45" s="31">
        <v>8.9480000000000004E-2</v>
      </c>
      <c r="D45" s="43">
        <v>14.5692</v>
      </c>
      <c r="E45" s="44">
        <v>3.6670000000000001E-2</v>
      </c>
      <c r="F45" s="5">
        <v>214129718</v>
      </c>
      <c r="G45" s="5">
        <v>3317584</v>
      </c>
      <c r="H45" s="5">
        <v>2779326</v>
      </c>
      <c r="I45" s="31">
        <v>1.298E-2</v>
      </c>
      <c r="J45" s="5">
        <v>1836457</v>
      </c>
      <c r="K45" s="45">
        <v>172</v>
      </c>
    </row>
    <row r="46" spans="1:11" ht="15" customHeight="1" x14ac:dyDescent="0.25">
      <c r="A46" t="s">
        <v>716</v>
      </c>
      <c r="B46" t="s">
        <v>672</v>
      </c>
      <c r="C46" s="31">
        <v>0.10274999999999999</v>
      </c>
      <c r="D46" s="43">
        <v>9.6613000000000007</v>
      </c>
      <c r="E46" s="44">
        <v>4.777E-2</v>
      </c>
      <c r="F46" s="5">
        <v>171662371</v>
      </c>
      <c r="G46" s="5">
        <v>1802565</v>
      </c>
      <c r="H46" s="5">
        <v>2206347</v>
      </c>
      <c r="I46" s="31">
        <v>1.285E-2</v>
      </c>
      <c r="J46" s="5">
        <v>-3275589</v>
      </c>
      <c r="K46" s="45">
        <v>131</v>
      </c>
    </row>
    <row r="47" spans="1:11" ht="15" customHeight="1" x14ac:dyDescent="0.25">
      <c r="A47" t="s">
        <v>717</v>
      </c>
      <c r="B47" t="s">
        <v>673</v>
      </c>
      <c r="C47" s="31">
        <v>5.3289999999999997E-2</v>
      </c>
      <c r="D47" s="43">
        <v>7.3803000000000001</v>
      </c>
      <c r="E47" s="44">
        <v>2.828E-2</v>
      </c>
      <c r="F47" s="5">
        <v>344706444</v>
      </c>
      <c r="G47" s="5">
        <v>1983256</v>
      </c>
      <c r="H47" s="5">
        <v>4420547</v>
      </c>
      <c r="I47" s="31">
        <v>1.282E-2</v>
      </c>
      <c r="J47" s="5">
        <v>-2734656</v>
      </c>
      <c r="K47" s="45">
        <v>70</v>
      </c>
    </row>
    <row r="48" spans="1:11" ht="15" customHeight="1" x14ac:dyDescent="0.25">
      <c r="A48" t="s">
        <v>718</v>
      </c>
      <c r="B48" t="s">
        <v>675</v>
      </c>
      <c r="C48" s="31">
        <v>8.9090000000000003E-2</v>
      </c>
      <c r="D48" s="43">
        <v>12.193899999999999</v>
      </c>
      <c r="E48" s="44">
        <v>-2.324E-2</v>
      </c>
      <c r="F48" s="5">
        <v>795242797</v>
      </c>
      <c r="G48" s="5">
        <v>13990598</v>
      </c>
      <c r="H48" s="5">
        <v>10146594</v>
      </c>
      <c r="I48" s="31">
        <v>1.2760000000000001E-2</v>
      </c>
      <c r="J48" s="5">
        <v>2390265</v>
      </c>
      <c r="K48" s="45">
        <v>252</v>
      </c>
    </row>
    <row r="49" spans="1:11" ht="15" customHeight="1" x14ac:dyDescent="0.25">
      <c r="A49" t="s">
        <v>719</v>
      </c>
      <c r="B49" t="s">
        <v>674</v>
      </c>
      <c r="C49" s="31">
        <v>7.6300000000000007E-2</v>
      </c>
      <c r="D49" s="43">
        <v>12.738200000000001</v>
      </c>
      <c r="E49" s="44">
        <v>1.644E-2</v>
      </c>
      <c r="F49" s="5">
        <v>226897920</v>
      </c>
      <c r="G49" s="5">
        <v>2953189</v>
      </c>
      <c r="H49" s="5">
        <v>2707064</v>
      </c>
      <c r="I49" s="31">
        <v>1.193E-2</v>
      </c>
      <c r="J49" s="5">
        <v>-6999</v>
      </c>
      <c r="K49" s="45">
        <v>155</v>
      </c>
    </row>
    <row r="50" spans="1:11" ht="15" customHeight="1" x14ac:dyDescent="0.25">
      <c r="A50" t="s">
        <v>720</v>
      </c>
      <c r="B50" t="s">
        <v>673</v>
      </c>
      <c r="C50" s="31">
        <v>7.7270000000000005E-2</v>
      </c>
      <c r="D50" s="43">
        <v>7.6990999999999996</v>
      </c>
      <c r="E50" s="44">
        <v>3.4099999999999998E-3</v>
      </c>
      <c r="F50" s="5">
        <v>432223104</v>
      </c>
      <c r="G50" s="5">
        <v>3417045</v>
      </c>
      <c r="H50" s="5">
        <v>5034253</v>
      </c>
      <c r="I50" s="31">
        <v>1.1650000000000001E-2</v>
      </c>
      <c r="J50" s="5">
        <v>10902634</v>
      </c>
      <c r="K50" s="45">
        <v>79</v>
      </c>
    </row>
    <row r="51" spans="1:11" ht="15" customHeight="1" x14ac:dyDescent="0.25">
      <c r="A51" t="s">
        <v>721</v>
      </c>
      <c r="B51" t="s">
        <v>672</v>
      </c>
      <c r="C51" s="31">
        <v>5.978E-2</v>
      </c>
      <c r="D51" s="43">
        <v>8.8627000000000002</v>
      </c>
      <c r="E51" s="44">
        <v>4.4450000000000003E-2</v>
      </c>
      <c r="F51" s="5">
        <v>114196484</v>
      </c>
      <c r="G51" s="5">
        <v>286116</v>
      </c>
      <c r="H51" s="5">
        <v>1269741</v>
      </c>
      <c r="I51" s="31">
        <v>1.112E-2</v>
      </c>
      <c r="J51" s="5">
        <v>363729</v>
      </c>
      <c r="K51" s="45">
        <v>101</v>
      </c>
    </row>
    <row r="52" spans="1:11" ht="15" customHeight="1" x14ac:dyDescent="0.25">
      <c r="A52" t="s">
        <v>722</v>
      </c>
      <c r="B52" t="s">
        <v>673</v>
      </c>
      <c r="C52" s="31">
        <v>5.348E-2</v>
      </c>
      <c r="D52" s="43">
        <v>6.4516</v>
      </c>
      <c r="E52" s="44">
        <v>3.1480000000000001E-2</v>
      </c>
      <c r="F52" s="5">
        <v>123797513</v>
      </c>
      <c r="G52" s="5">
        <v>1365223</v>
      </c>
      <c r="H52" s="5">
        <v>1367230</v>
      </c>
      <c r="I52" s="31">
        <v>1.1039999999999999E-2</v>
      </c>
      <c r="J52" s="5">
        <v>1504994</v>
      </c>
      <c r="K52" s="45">
        <v>51</v>
      </c>
    </row>
    <row r="53" spans="1:11" ht="15" customHeight="1" x14ac:dyDescent="0.25">
      <c r="A53" t="s">
        <v>723</v>
      </c>
      <c r="B53" t="s">
        <v>674</v>
      </c>
      <c r="C53" s="31">
        <v>6.9930000000000006E-2</v>
      </c>
      <c r="D53" s="43">
        <v>20.545200000000001</v>
      </c>
      <c r="E53" s="44">
        <v>5.4799999999999996E-3</v>
      </c>
      <c r="F53" s="5">
        <v>144211668</v>
      </c>
      <c r="G53" s="5">
        <v>1419235</v>
      </c>
      <c r="H53" s="5">
        <v>1582989</v>
      </c>
      <c r="I53" s="31">
        <v>1.098E-2</v>
      </c>
      <c r="J53" s="5">
        <v>-1113107</v>
      </c>
      <c r="K53" s="45">
        <v>256</v>
      </c>
    </row>
    <row r="54" spans="1:11" ht="15" customHeight="1" x14ac:dyDescent="0.25">
      <c r="A54" t="s">
        <v>724</v>
      </c>
      <c r="B54" t="s">
        <v>674</v>
      </c>
      <c r="C54" s="31">
        <v>5.2490000000000002E-2</v>
      </c>
      <c r="D54" s="43">
        <v>7.2687999999999997</v>
      </c>
      <c r="E54" s="44">
        <v>2.648E-2</v>
      </c>
      <c r="F54" s="5">
        <v>156260920</v>
      </c>
      <c r="G54" s="5">
        <v>1973910</v>
      </c>
      <c r="H54" s="5">
        <v>1634238</v>
      </c>
      <c r="I54" s="31">
        <v>1.0460000000000001E-2</v>
      </c>
      <c r="J54" s="5">
        <v>1647409</v>
      </c>
      <c r="K54" s="45">
        <v>68</v>
      </c>
    </row>
    <row r="55" spans="1:11" ht="15" customHeight="1" x14ac:dyDescent="0.25">
      <c r="A55" t="s">
        <v>725</v>
      </c>
      <c r="B55" t="s">
        <v>675</v>
      </c>
      <c r="C55" s="31">
        <v>8.1059999999999993E-2</v>
      </c>
      <c r="D55" s="43">
        <v>10.7545</v>
      </c>
      <c r="E55" s="44">
        <v>-6.8399999999999997E-3</v>
      </c>
      <c r="F55" s="5">
        <v>202733435</v>
      </c>
      <c r="G55" s="5">
        <v>2664188</v>
      </c>
      <c r="H55" s="5">
        <v>2079973</v>
      </c>
      <c r="I55" s="31">
        <v>1.026E-2</v>
      </c>
      <c r="J55" s="5">
        <v>1558701</v>
      </c>
      <c r="K55" s="45">
        <v>158</v>
      </c>
    </row>
    <row r="56" spans="1:11" ht="15" customHeight="1" x14ac:dyDescent="0.25">
      <c r="A56" t="s">
        <v>726</v>
      </c>
      <c r="B56" t="s">
        <v>672</v>
      </c>
      <c r="C56" s="31">
        <v>6.6650000000000001E-2</v>
      </c>
      <c r="D56" s="43">
        <v>16.750399999999999</v>
      </c>
      <c r="E56" s="44">
        <v>2.7539999999999999E-2</v>
      </c>
      <c r="F56" s="5">
        <v>224738253</v>
      </c>
      <c r="G56" s="5">
        <v>2698885</v>
      </c>
      <c r="H56" s="5">
        <v>2136743</v>
      </c>
      <c r="I56" s="31">
        <v>9.5099999999999994E-3</v>
      </c>
      <c r="J56" s="5">
        <v>-282335</v>
      </c>
      <c r="K56" s="45">
        <v>206</v>
      </c>
    </row>
    <row r="57" spans="1:11" ht="15" customHeight="1" x14ac:dyDescent="0.25">
      <c r="A57" t="s">
        <v>727</v>
      </c>
      <c r="B57" t="s">
        <v>674</v>
      </c>
      <c r="C57" s="31">
        <v>0.13303000000000001</v>
      </c>
      <c r="D57" s="43">
        <v>10.775</v>
      </c>
      <c r="E57" s="44">
        <v>2.4649999999999998E-2</v>
      </c>
      <c r="F57" s="5">
        <v>120520013</v>
      </c>
      <c r="G57" s="5">
        <v>3402242</v>
      </c>
      <c r="H57" s="5">
        <v>1037014</v>
      </c>
      <c r="I57" s="31">
        <v>8.6E-3</v>
      </c>
      <c r="J57" s="5">
        <v>4873684</v>
      </c>
      <c r="K57" s="45">
        <v>119</v>
      </c>
    </row>
    <row r="58" spans="1:11" ht="15" customHeight="1" x14ac:dyDescent="0.25">
      <c r="A58" t="s">
        <v>728</v>
      </c>
      <c r="B58" t="s">
        <v>674</v>
      </c>
      <c r="C58" s="31">
        <v>9.7479999999999997E-2</v>
      </c>
      <c r="D58" s="43">
        <v>11.244400000000001</v>
      </c>
      <c r="E58" s="44">
        <v>-1.0399999999999999E-3</v>
      </c>
      <c r="F58" s="5">
        <v>272387052</v>
      </c>
      <c r="G58" s="5">
        <v>3416019</v>
      </c>
      <c r="H58" s="5">
        <v>2134455</v>
      </c>
      <c r="I58" s="31">
        <v>7.8399999999999997E-3</v>
      </c>
      <c r="J58" s="5">
        <v>-2520913</v>
      </c>
      <c r="K58" s="45">
        <v>140</v>
      </c>
    </row>
    <row r="59" spans="1:11" ht="15" customHeight="1" x14ac:dyDescent="0.25">
      <c r="A59" t="s">
        <v>729</v>
      </c>
      <c r="B59" t="s">
        <v>674</v>
      </c>
      <c r="C59" s="31">
        <v>0.10024</v>
      </c>
      <c r="D59" s="43">
        <v>10.1013</v>
      </c>
      <c r="E59" s="44">
        <v>1.3939999999999999E-2</v>
      </c>
      <c r="F59" s="5">
        <v>174920868</v>
      </c>
      <c r="G59" s="5">
        <v>8738622</v>
      </c>
      <c r="H59" s="5">
        <v>1358363</v>
      </c>
      <c r="I59" s="31">
        <v>7.77E-3</v>
      </c>
      <c r="J59" s="5">
        <v>1061633</v>
      </c>
      <c r="K59" s="45">
        <v>117</v>
      </c>
    </row>
    <row r="60" spans="1:11" ht="15" customHeight="1" x14ac:dyDescent="0.25">
      <c r="A60" t="s">
        <v>730</v>
      </c>
      <c r="B60" t="s">
        <v>674</v>
      </c>
      <c r="C60" s="31">
        <v>4.4069999999999998E-2</v>
      </c>
      <c r="D60" s="43">
        <v>7.3895</v>
      </c>
      <c r="E60" s="44">
        <v>1.47E-2</v>
      </c>
      <c r="F60" s="5">
        <v>125429976</v>
      </c>
      <c r="G60" s="5">
        <v>955104</v>
      </c>
      <c r="H60" s="5">
        <v>891230</v>
      </c>
      <c r="I60" s="31">
        <v>7.11E-3</v>
      </c>
      <c r="J60" s="5">
        <v>-462138</v>
      </c>
      <c r="K60" s="45">
        <v>64</v>
      </c>
    </row>
    <row r="61" spans="1:11" ht="15" customHeight="1" x14ac:dyDescent="0.25">
      <c r="A61" t="s">
        <v>731</v>
      </c>
      <c r="B61" t="s">
        <v>674</v>
      </c>
      <c r="C61" s="31">
        <v>4.4409999999999998E-2</v>
      </c>
      <c r="D61" s="43">
        <v>8.1776999999999997</v>
      </c>
      <c r="E61" s="44">
        <v>2.564E-2</v>
      </c>
      <c r="F61" s="5">
        <v>137612324</v>
      </c>
      <c r="G61" s="5">
        <v>331500</v>
      </c>
      <c r="H61" s="5">
        <v>972814</v>
      </c>
      <c r="I61" s="31">
        <v>7.0699999999999999E-3</v>
      </c>
      <c r="J61" s="5">
        <v>583440</v>
      </c>
      <c r="K61" s="45">
        <v>64</v>
      </c>
    </row>
    <row r="62" spans="1:11" ht="15" customHeight="1" x14ac:dyDescent="0.25">
      <c r="A62" t="s">
        <v>732</v>
      </c>
      <c r="B62" t="s">
        <v>672</v>
      </c>
      <c r="C62" s="31">
        <v>8.9249999999999996E-2</v>
      </c>
      <c r="D62" s="43">
        <v>11.9994</v>
      </c>
      <c r="E62" s="44">
        <v>1.9570000000000001E-2</v>
      </c>
      <c r="F62" s="5">
        <v>643365249</v>
      </c>
      <c r="G62" s="5">
        <v>11146947</v>
      </c>
      <c r="H62" s="5">
        <v>4459744</v>
      </c>
      <c r="I62" s="31">
        <v>6.9300000000000004E-3</v>
      </c>
      <c r="J62" s="5">
        <v>2957397</v>
      </c>
      <c r="K62" s="45">
        <v>134</v>
      </c>
    </row>
    <row r="63" spans="1:11" ht="15" customHeight="1" x14ac:dyDescent="0.25">
      <c r="A63" t="s">
        <v>733</v>
      </c>
      <c r="B63" t="s">
        <v>675</v>
      </c>
      <c r="C63" s="31">
        <v>9.7869999999999999E-2</v>
      </c>
      <c r="D63" s="43">
        <v>14.722</v>
      </c>
      <c r="E63" s="44">
        <v>1.341E-2</v>
      </c>
      <c r="F63" s="5">
        <v>369200721</v>
      </c>
      <c r="G63" s="5">
        <v>5605558</v>
      </c>
      <c r="H63" s="5">
        <v>2540773</v>
      </c>
      <c r="I63" s="31">
        <v>6.8799999999999998E-3</v>
      </c>
      <c r="J63" s="5">
        <v>-1928489</v>
      </c>
      <c r="K63" s="45">
        <v>244</v>
      </c>
    </row>
    <row r="64" spans="1:11" ht="15" customHeight="1" x14ac:dyDescent="0.25">
      <c r="A64" t="s">
        <v>734</v>
      </c>
      <c r="B64" t="s">
        <v>672</v>
      </c>
      <c r="C64" s="31">
        <v>4.9579999999999999E-2</v>
      </c>
      <c r="D64" s="43">
        <v>8.7162000000000006</v>
      </c>
      <c r="E64" s="44">
        <v>2.6589999999999999E-2</v>
      </c>
      <c r="F64" s="5">
        <v>124747977</v>
      </c>
      <c r="G64" s="5">
        <v>26945</v>
      </c>
      <c r="H64" s="5">
        <v>793900</v>
      </c>
      <c r="I64" s="31">
        <v>6.3600000000000002E-3</v>
      </c>
      <c r="J64" s="5">
        <v>-1396096</v>
      </c>
      <c r="K64" s="45">
        <v>72</v>
      </c>
    </row>
    <row r="65" spans="1:11" ht="15" customHeight="1" x14ac:dyDescent="0.25">
      <c r="A65" t="s">
        <v>735</v>
      </c>
      <c r="B65" t="s">
        <v>672</v>
      </c>
      <c r="C65" s="31">
        <v>8.8520000000000001E-2</v>
      </c>
      <c r="D65" s="43">
        <v>17.3155</v>
      </c>
      <c r="E65" s="44">
        <v>1.5820000000000001E-2</v>
      </c>
      <c r="F65" s="5">
        <v>375549324</v>
      </c>
      <c r="G65" s="5">
        <v>2715568</v>
      </c>
      <c r="H65" s="5">
        <v>2374529</v>
      </c>
      <c r="I65" s="31">
        <v>6.3200000000000001E-3</v>
      </c>
      <c r="J65" s="5">
        <v>-3001440</v>
      </c>
      <c r="K65" s="45">
        <v>201</v>
      </c>
    </row>
    <row r="66" spans="1:11" ht="15" customHeight="1" x14ac:dyDescent="0.25">
      <c r="A66" t="s">
        <v>736</v>
      </c>
      <c r="B66" t="s">
        <v>673</v>
      </c>
      <c r="C66" s="31">
        <v>4.929E-2</v>
      </c>
      <c r="D66" s="43">
        <v>7.6585000000000001</v>
      </c>
      <c r="E66" s="44">
        <v>1.2999999999999999E-2</v>
      </c>
      <c r="F66" s="5">
        <v>270893279</v>
      </c>
      <c r="G66" s="5">
        <v>2305647</v>
      </c>
      <c r="H66" s="5">
        <v>1653866</v>
      </c>
      <c r="I66" s="31">
        <v>6.11E-3</v>
      </c>
      <c r="J66" s="5">
        <v>1639414</v>
      </c>
      <c r="K66" s="45">
        <v>69</v>
      </c>
    </row>
    <row r="67" spans="1:11" ht="15" customHeight="1" x14ac:dyDescent="0.25">
      <c r="A67" t="s">
        <v>737</v>
      </c>
      <c r="B67" t="s">
        <v>675</v>
      </c>
      <c r="C67" s="31">
        <v>9.4339999999999993E-2</v>
      </c>
      <c r="D67" s="43">
        <v>17.131499999999999</v>
      </c>
      <c r="E67" s="44">
        <v>-2.1510000000000001E-2</v>
      </c>
      <c r="F67" s="5">
        <v>279188128</v>
      </c>
      <c r="G67" s="5">
        <v>494704</v>
      </c>
      <c r="H67" s="5">
        <v>1633963</v>
      </c>
      <c r="I67" s="31">
        <v>5.8500000000000002E-3</v>
      </c>
      <c r="J67" s="5">
        <v>-2304349</v>
      </c>
      <c r="K67" s="45">
        <v>274</v>
      </c>
    </row>
    <row r="68" spans="1:11" ht="15" customHeight="1" x14ac:dyDescent="0.25">
      <c r="A68" t="s">
        <v>738</v>
      </c>
      <c r="B68" t="s">
        <v>672</v>
      </c>
      <c r="C68" s="31">
        <v>4.8390000000000002E-2</v>
      </c>
      <c r="D68" s="43">
        <v>11.1549</v>
      </c>
      <c r="E68" s="44">
        <v>3.8879999999999998E-2</v>
      </c>
      <c r="F68" s="5">
        <v>171510132</v>
      </c>
      <c r="G68" s="5">
        <v>536203</v>
      </c>
      <c r="H68" s="5">
        <v>968074</v>
      </c>
      <c r="I68" s="31">
        <v>5.64E-3</v>
      </c>
      <c r="J68" s="5">
        <v>282203</v>
      </c>
      <c r="K68" s="45">
        <v>99</v>
      </c>
    </row>
    <row r="69" spans="1:11" ht="15" customHeight="1" x14ac:dyDescent="0.25">
      <c r="A69" t="s">
        <v>739</v>
      </c>
      <c r="B69" t="s">
        <v>673</v>
      </c>
      <c r="C69" s="31">
        <v>5.0340000000000003E-2</v>
      </c>
      <c r="D69" s="43">
        <v>8.9781999999999993</v>
      </c>
      <c r="E69" s="44">
        <v>2.2939999999999999E-2</v>
      </c>
      <c r="F69" s="5">
        <v>640291586</v>
      </c>
      <c r="G69" s="5">
        <v>2077343</v>
      </c>
      <c r="H69" s="5">
        <v>3604980</v>
      </c>
      <c r="I69" s="31">
        <v>5.6299999999999996E-3</v>
      </c>
      <c r="J69" s="5">
        <v>-1007670</v>
      </c>
      <c r="K69" s="45">
        <v>74</v>
      </c>
    </row>
    <row r="70" spans="1:11" ht="15" customHeight="1" x14ac:dyDescent="0.25">
      <c r="A70" t="s">
        <v>740</v>
      </c>
      <c r="B70" t="s">
        <v>672</v>
      </c>
      <c r="C70" s="31">
        <v>7.571E-2</v>
      </c>
      <c r="D70" s="43">
        <v>22.886399999999998</v>
      </c>
      <c r="E70" s="44">
        <v>-7.4900000000000001E-3</v>
      </c>
      <c r="F70" s="5">
        <v>562120181</v>
      </c>
      <c r="G70" s="5">
        <v>3566647</v>
      </c>
      <c r="H70" s="5">
        <v>3099457</v>
      </c>
      <c r="I70" s="31">
        <v>5.5100000000000001E-3</v>
      </c>
      <c r="J70" s="5">
        <v>-2192192</v>
      </c>
      <c r="K70" s="45">
        <v>308</v>
      </c>
    </row>
    <row r="71" spans="1:11" ht="15" customHeight="1" x14ac:dyDescent="0.25">
      <c r="A71" t="s">
        <v>741</v>
      </c>
      <c r="B71" t="s">
        <v>675</v>
      </c>
      <c r="C71" s="31">
        <v>9.6460000000000004E-2</v>
      </c>
      <c r="D71" s="43">
        <v>22.696899999999999</v>
      </c>
      <c r="E71" s="44">
        <v>-1.24E-3</v>
      </c>
      <c r="F71" s="5">
        <v>219211730</v>
      </c>
      <c r="G71" s="5">
        <v>2856847</v>
      </c>
      <c r="H71" s="5">
        <v>1166424</v>
      </c>
      <c r="I71" s="31">
        <v>5.3200000000000001E-3</v>
      </c>
      <c r="J71" s="5">
        <v>-616170</v>
      </c>
      <c r="K71" s="45">
        <v>330</v>
      </c>
    </row>
    <row r="72" spans="1:11" ht="15" customHeight="1" x14ac:dyDescent="0.25">
      <c r="A72" t="s">
        <v>742</v>
      </c>
      <c r="B72" t="s">
        <v>672</v>
      </c>
      <c r="C72" s="31">
        <v>6.1129999999999997E-2</v>
      </c>
      <c r="D72" s="43">
        <v>19.491700000000002</v>
      </c>
      <c r="E72" s="44">
        <v>1.4460000000000001E-2</v>
      </c>
      <c r="F72" s="5">
        <v>184016792</v>
      </c>
      <c r="G72" s="5">
        <v>752740</v>
      </c>
      <c r="H72" s="5">
        <v>922576</v>
      </c>
      <c r="I72" s="31">
        <v>5.0099999999999997E-3</v>
      </c>
      <c r="J72" s="5">
        <v>-781614</v>
      </c>
      <c r="K72" s="45">
        <v>213</v>
      </c>
    </row>
    <row r="73" spans="1:11" ht="15" customHeight="1" x14ac:dyDescent="0.25">
      <c r="A73" t="s">
        <v>743</v>
      </c>
      <c r="B73" t="s">
        <v>674</v>
      </c>
      <c r="C73" s="31">
        <v>6.7790000000000003E-2</v>
      </c>
      <c r="D73" s="43">
        <v>6.9928999999999997</v>
      </c>
      <c r="E73" s="44">
        <v>2.5559999999999999E-2</v>
      </c>
      <c r="F73" s="5">
        <v>104520015</v>
      </c>
      <c r="G73" s="5">
        <v>336142</v>
      </c>
      <c r="H73" s="5">
        <v>518000</v>
      </c>
      <c r="I73" s="31">
        <v>4.96E-3</v>
      </c>
      <c r="J73" s="5">
        <v>787035</v>
      </c>
      <c r="K73" s="45">
        <v>61</v>
      </c>
    </row>
    <row r="74" spans="1:11" ht="15" customHeight="1" x14ac:dyDescent="0.25">
      <c r="A74" t="s">
        <v>744</v>
      </c>
      <c r="B74" t="s">
        <v>675</v>
      </c>
      <c r="C74" s="31">
        <v>7.6189999999999994E-2</v>
      </c>
      <c r="D74" s="43">
        <v>11.642799999999999</v>
      </c>
      <c r="E74" s="44">
        <v>-2.7799999999999999E-3</v>
      </c>
      <c r="F74" s="5">
        <v>195479638</v>
      </c>
      <c r="G74" s="5">
        <v>1390275</v>
      </c>
      <c r="H74" s="5">
        <v>955546</v>
      </c>
      <c r="I74" s="31">
        <v>4.8900000000000002E-3</v>
      </c>
      <c r="J74" s="5">
        <v>-1011337</v>
      </c>
      <c r="K74" s="45">
        <v>154</v>
      </c>
    </row>
    <row r="75" spans="1:11" ht="15" customHeight="1" x14ac:dyDescent="0.25">
      <c r="A75" t="s">
        <v>745</v>
      </c>
      <c r="B75" t="s">
        <v>675</v>
      </c>
      <c r="C75" s="31">
        <v>0.13269</v>
      </c>
      <c r="D75" s="43">
        <v>28.848400000000002</v>
      </c>
      <c r="E75" s="44">
        <v>-6.9999999999999999E-4</v>
      </c>
      <c r="F75" s="5">
        <v>103432783</v>
      </c>
      <c r="G75" s="5">
        <v>1526250</v>
      </c>
      <c r="H75" s="5">
        <v>489410</v>
      </c>
      <c r="I75" s="31">
        <v>4.7299999999999998E-3</v>
      </c>
      <c r="J75" s="5">
        <v>379203</v>
      </c>
      <c r="K75" s="45">
        <v>440</v>
      </c>
    </row>
    <row r="76" spans="1:11" ht="15" customHeight="1" x14ac:dyDescent="0.25">
      <c r="A76" t="s">
        <v>746</v>
      </c>
      <c r="B76" t="s">
        <v>673</v>
      </c>
      <c r="C76" s="31">
        <v>3.0849999999999999E-2</v>
      </c>
      <c r="D76" s="43">
        <v>7.2873000000000001</v>
      </c>
      <c r="E76" s="44">
        <v>1.9550000000000001E-2</v>
      </c>
      <c r="F76" s="5">
        <v>200770152</v>
      </c>
      <c r="G76" s="5">
        <v>1386829</v>
      </c>
      <c r="H76" s="5">
        <v>943923</v>
      </c>
      <c r="I76" s="31">
        <v>4.7000000000000002E-3</v>
      </c>
      <c r="J76" s="5">
        <v>1627811</v>
      </c>
      <c r="K76" s="45">
        <v>64</v>
      </c>
    </row>
    <row r="77" spans="1:11" ht="15" customHeight="1" x14ac:dyDescent="0.25">
      <c r="A77" t="s">
        <v>747</v>
      </c>
      <c r="B77" t="s">
        <v>673</v>
      </c>
      <c r="C77" s="31">
        <v>4.8239999999999998E-2</v>
      </c>
      <c r="D77" s="43">
        <v>7.4791999999999996</v>
      </c>
      <c r="E77" s="44">
        <v>1.448E-2</v>
      </c>
      <c r="F77" s="5">
        <v>369137910</v>
      </c>
      <c r="G77" s="5">
        <v>2635624</v>
      </c>
      <c r="H77" s="5">
        <v>1677071</v>
      </c>
      <c r="I77" s="31">
        <v>4.5399999999999998E-3</v>
      </c>
      <c r="J77" s="5">
        <v>5055032</v>
      </c>
      <c r="K77" s="45">
        <v>75</v>
      </c>
    </row>
    <row r="78" spans="1:11" ht="15" customHeight="1" x14ac:dyDescent="0.25">
      <c r="A78" t="s">
        <v>748</v>
      </c>
      <c r="B78" t="s">
        <v>672</v>
      </c>
      <c r="C78" s="31">
        <v>5.5410000000000001E-2</v>
      </c>
      <c r="D78" s="43">
        <v>9.3818999999999999</v>
      </c>
      <c r="E78" s="44">
        <v>3.1289999999999998E-2</v>
      </c>
      <c r="F78" s="5">
        <v>146801884</v>
      </c>
      <c r="G78" s="5">
        <v>238336</v>
      </c>
      <c r="H78" s="5">
        <v>625948</v>
      </c>
      <c r="I78" s="31">
        <v>4.2599999999999999E-3</v>
      </c>
      <c r="J78" s="5">
        <v>-544637</v>
      </c>
      <c r="K78" s="45">
        <v>79</v>
      </c>
    </row>
    <row r="79" spans="1:11" ht="15" customHeight="1" x14ac:dyDescent="0.25">
      <c r="A79" t="s">
        <v>749</v>
      </c>
      <c r="B79" t="s">
        <v>673</v>
      </c>
      <c r="C79" s="31">
        <v>5.6640000000000003E-2</v>
      </c>
      <c r="D79" s="43">
        <v>7.1211000000000002</v>
      </c>
      <c r="E79" s="44">
        <v>1.9380000000000001E-2</v>
      </c>
      <c r="F79" s="5">
        <v>122460008</v>
      </c>
      <c r="G79" s="5">
        <v>1091906</v>
      </c>
      <c r="H79" s="5">
        <v>426866</v>
      </c>
      <c r="I79" s="31">
        <v>3.49E-3</v>
      </c>
      <c r="J79" s="5">
        <v>-1371326</v>
      </c>
      <c r="K79" s="45">
        <v>58</v>
      </c>
    </row>
    <row r="80" spans="1:11" ht="15" customHeight="1" x14ac:dyDescent="0.25">
      <c r="A80" t="s">
        <v>750</v>
      </c>
      <c r="B80" t="s">
        <v>672</v>
      </c>
      <c r="C80" s="31">
        <v>5.7200000000000001E-2</v>
      </c>
      <c r="D80" s="43">
        <v>8.5619999999999994</v>
      </c>
      <c r="E80" s="44">
        <v>-8.5599999999999999E-3</v>
      </c>
      <c r="F80" s="5">
        <v>243650806</v>
      </c>
      <c r="G80" s="5">
        <v>621383</v>
      </c>
      <c r="H80" s="5">
        <v>834750</v>
      </c>
      <c r="I80" s="31">
        <v>3.4299999999999999E-3</v>
      </c>
      <c r="J80" s="5">
        <v>-170922</v>
      </c>
      <c r="K80" s="45">
        <v>68</v>
      </c>
    </row>
    <row r="81" spans="1:11" ht="15" customHeight="1" x14ac:dyDescent="0.25">
      <c r="A81" t="s">
        <v>751</v>
      </c>
      <c r="B81" t="s">
        <v>674</v>
      </c>
      <c r="C81" s="31">
        <v>6.6530000000000006E-2</v>
      </c>
      <c r="D81" s="43">
        <v>8.3516999999999992</v>
      </c>
      <c r="E81" s="44">
        <v>4.1599999999999996E-3</v>
      </c>
      <c r="F81" s="5">
        <v>156779642</v>
      </c>
      <c r="G81" s="5">
        <v>2590772</v>
      </c>
      <c r="H81" s="5">
        <v>536287</v>
      </c>
      <c r="I81" s="31">
        <v>3.4199999999999999E-3</v>
      </c>
      <c r="J81" s="5">
        <v>1103452</v>
      </c>
      <c r="K81" s="45">
        <v>83</v>
      </c>
    </row>
    <row r="82" spans="1:11" ht="15" customHeight="1" x14ac:dyDescent="0.25">
      <c r="A82" t="s">
        <v>752</v>
      </c>
      <c r="B82" t="s">
        <v>675</v>
      </c>
      <c r="C82" s="31">
        <v>6.6420000000000007E-2</v>
      </c>
      <c r="D82" s="43">
        <v>17.603100000000001</v>
      </c>
      <c r="E82" s="44">
        <v>-3.7900000000000003E-2</v>
      </c>
      <c r="F82" s="5">
        <v>965835766</v>
      </c>
      <c r="G82" s="5">
        <v>4643111</v>
      </c>
      <c r="H82" s="5">
        <v>3169324</v>
      </c>
      <c r="I82" s="31">
        <v>3.2799999999999999E-3</v>
      </c>
      <c r="J82" s="5">
        <v>-3409990</v>
      </c>
      <c r="K82" s="45">
        <v>322</v>
      </c>
    </row>
    <row r="83" spans="1:11" ht="15" customHeight="1" x14ac:dyDescent="0.25">
      <c r="A83" t="s">
        <v>753</v>
      </c>
      <c r="B83" t="s">
        <v>673</v>
      </c>
      <c r="C83" s="31">
        <v>3.4020000000000002E-2</v>
      </c>
      <c r="D83" s="43">
        <v>6.0766999999999998</v>
      </c>
      <c r="E83" s="44">
        <v>1.6320000000000001E-2</v>
      </c>
      <c r="F83" s="5">
        <v>118304246</v>
      </c>
      <c r="G83" s="5">
        <v>697750</v>
      </c>
      <c r="H83" s="5">
        <v>368320</v>
      </c>
      <c r="I83" s="31">
        <v>3.1099999999999999E-3</v>
      </c>
      <c r="J83" s="5">
        <v>310060</v>
      </c>
      <c r="K83" s="45">
        <v>47</v>
      </c>
    </row>
    <row r="84" spans="1:11" ht="15" customHeight="1" x14ac:dyDescent="0.25">
      <c r="A84" t="s">
        <v>754</v>
      </c>
      <c r="B84" t="s">
        <v>675</v>
      </c>
      <c r="C84" s="31">
        <v>6.4310000000000006E-2</v>
      </c>
      <c r="D84" s="43">
        <v>19.315100000000001</v>
      </c>
      <c r="E84" s="44">
        <v>-1.1259999999999999E-2</v>
      </c>
      <c r="F84" s="5">
        <v>305591126</v>
      </c>
      <c r="G84" s="5">
        <v>2291097</v>
      </c>
      <c r="H84" s="5">
        <v>840178</v>
      </c>
      <c r="I84" s="31">
        <v>2.7499999999999998E-3</v>
      </c>
      <c r="J84" s="5">
        <v>-687893</v>
      </c>
      <c r="K84" s="45">
        <v>352</v>
      </c>
    </row>
    <row r="85" spans="1:11" ht="15" customHeight="1" x14ac:dyDescent="0.25">
      <c r="A85" t="s">
        <v>755</v>
      </c>
      <c r="B85" t="s">
        <v>673</v>
      </c>
      <c r="C85" s="31">
        <v>4.462E-2</v>
      </c>
      <c r="D85" s="43">
        <v>6.6398000000000001</v>
      </c>
      <c r="E85" s="44">
        <v>1.4160000000000001E-2</v>
      </c>
      <c r="F85" s="5">
        <v>367641143</v>
      </c>
      <c r="G85" s="5">
        <v>1744805</v>
      </c>
      <c r="H85" s="5">
        <v>398804</v>
      </c>
      <c r="I85" s="31">
        <v>1.08E-3</v>
      </c>
      <c r="J85" s="5">
        <v>-1370495</v>
      </c>
      <c r="K85" s="45">
        <v>54</v>
      </c>
    </row>
    <row r="86" spans="1:11" ht="15" customHeight="1" x14ac:dyDescent="0.25">
      <c r="A86" t="s">
        <v>756</v>
      </c>
      <c r="B86" t="s">
        <v>674</v>
      </c>
      <c r="C86" s="31">
        <v>8.813E-2</v>
      </c>
      <c r="D86" s="43">
        <v>5.6947000000000001</v>
      </c>
      <c r="E86" s="44">
        <v>2.2280000000000001E-2</v>
      </c>
      <c r="F86" s="5">
        <v>333374245</v>
      </c>
      <c r="G86" s="5">
        <v>722845</v>
      </c>
      <c r="H86" s="5">
        <v>267888</v>
      </c>
      <c r="I86" s="31">
        <v>8.0000000000000004E-4</v>
      </c>
      <c r="J86" s="5">
        <v>1476467</v>
      </c>
      <c r="K86" s="45">
        <v>57</v>
      </c>
    </row>
  </sheetData>
  <pageMargins left="0.75" right="0.75" top="1" bottom="1"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1"/>
  <sheetViews>
    <sheetView zoomScaleNormal="100" workbookViewId="0">
      <selection activeCell="D6" sqref="D6"/>
    </sheetView>
  </sheetViews>
  <sheetFormatPr defaultColWidth="8.7109375" defaultRowHeight="15" x14ac:dyDescent="0.25"/>
  <cols>
    <col min="1" max="8" width="12.7109375" customWidth="1"/>
  </cols>
  <sheetData>
    <row r="1" spans="1:8" ht="15" customHeight="1" x14ac:dyDescent="0.25">
      <c r="A1" s="22" t="s">
        <v>757</v>
      </c>
    </row>
    <row r="2" spans="1:8" ht="15" customHeight="1" x14ac:dyDescent="0.25">
      <c r="A2" t="s">
        <v>758</v>
      </c>
    </row>
    <row r="3" spans="1:8" ht="72" customHeight="1" x14ac:dyDescent="0.25">
      <c r="A3" s="46" t="s">
        <v>643</v>
      </c>
      <c r="B3" s="46" t="s">
        <v>759</v>
      </c>
      <c r="C3" s="46" t="s">
        <v>760</v>
      </c>
      <c r="D3" s="46" t="s">
        <v>562</v>
      </c>
      <c r="E3" s="46" t="s">
        <v>563</v>
      </c>
      <c r="F3" s="46" t="s">
        <v>761</v>
      </c>
      <c r="G3" s="46" t="s">
        <v>559</v>
      </c>
      <c r="H3" s="47"/>
    </row>
    <row r="4" spans="1:8" ht="15" customHeight="1" x14ac:dyDescent="0.25">
      <c r="A4">
        <v>2010</v>
      </c>
      <c r="B4" s="48">
        <v>97.891999999999996</v>
      </c>
      <c r="C4" s="48">
        <v>218.07599999999999</v>
      </c>
      <c r="D4" s="37">
        <f t="shared" ref="D4:D19" si="0">B4/$B$10*100</f>
        <v>87.74987002276842</v>
      </c>
      <c r="E4" s="37">
        <f t="shared" ref="E4:E19" si="1">C4/$C$10*100</f>
        <v>90.86310701860377</v>
      </c>
    </row>
    <row r="5" spans="1:8" ht="15" customHeight="1" x14ac:dyDescent="0.25">
      <c r="A5">
        <v>2011</v>
      </c>
      <c r="B5" s="48">
        <v>100.133</v>
      </c>
      <c r="C5" s="48">
        <v>224.923</v>
      </c>
      <c r="D5" s="37">
        <f t="shared" si="0"/>
        <v>89.75869054662148</v>
      </c>
      <c r="E5" s="37">
        <f t="shared" si="1"/>
        <v>93.715964250744776</v>
      </c>
      <c r="F5" s="31">
        <f t="shared" ref="F5:F19" si="2">B5/B4-1</f>
        <v>2.2892575491357814E-2</v>
      </c>
      <c r="G5" s="31">
        <f t="shared" ref="G5:G19" si="3">C5/C4-1</f>
        <v>3.1397311029182529E-2</v>
      </c>
    </row>
    <row r="6" spans="1:8" ht="15" customHeight="1" x14ac:dyDescent="0.25">
      <c r="A6">
        <v>2012</v>
      </c>
      <c r="B6" s="48">
        <v>103.217</v>
      </c>
      <c r="C6" s="48">
        <v>229.58600000000001</v>
      </c>
      <c r="D6" s="37">
        <f t="shared" si="0"/>
        <v>92.523171803008296</v>
      </c>
      <c r="E6" s="37">
        <f t="shared" si="1"/>
        <v>95.65884044082415</v>
      </c>
      <c r="F6" s="31">
        <f t="shared" si="2"/>
        <v>3.0799037280416997E-2</v>
      </c>
      <c r="G6" s="31">
        <f t="shared" si="3"/>
        <v>2.0731539237872632E-2</v>
      </c>
    </row>
    <row r="7" spans="1:8" ht="15" customHeight="1" x14ac:dyDescent="0.25">
      <c r="A7">
        <v>2013</v>
      </c>
      <c r="B7" s="48">
        <v>105.1</v>
      </c>
      <c r="C7" s="48">
        <v>232.952</v>
      </c>
      <c r="D7" s="37">
        <f t="shared" si="0"/>
        <v>94.211083024077141</v>
      </c>
      <c r="E7" s="37">
        <f t="shared" si="1"/>
        <v>97.06131122268286</v>
      </c>
      <c r="F7" s="31">
        <f t="shared" si="2"/>
        <v>1.8243118866078323E-2</v>
      </c>
      <c r="G7" s="31">
        <f t="shared" si="3"/>
        <v>1.4661172719590887E-2</v>
      </c>
    </row>
    <row r="8" spans="1:8" ht="15" customHeight="1" x14ac:dyDescent="0.25">
      <c r="A8">
        <v>2014</v>
      </c>
      <c r="B8" s="48">
        <v>108.292</v>
      </c>
      <c r="C8" s="48">
        <v>236.715</v>
      </c>
      <c r="D8" s="37">
        <f t="shared" si="0"/>
        <v>97.072374908119542</v>
      </c>
      <c r="E8" s="37">
        <f t="shared" si="1"/>
        <v>98.62919522509948</v>
      </c>
      <c r="F8" s="31">
        <f t="shared" si="2"/>
        <v>3.0371075166508055E-2</v>
      </c>
      <c r="G8" s="31">
        <f t="shared" si="3"/>
        <v>1.6153542360658024E-2</v>
      </c>
    </row>
    <row r="9" spans="1:8" ht="15" customHeight="1" x14ac:dyDescent="0.25">
      <c r="A9">
        <v>2015</v>
      </c>
      <c r="B9" s="48">
        <v>110.35</v>
      </c>
      <c r="C9" s="48">
        <v>237.00200000000001</v>
      </c>
      <c r="D9" s="37">
        <f t="shared" si="0"/>
        <v>98.917155201778442</v>
      </c>
      <c r="E9" s="37">
        <f t="shared" si="1"/>
        <v>98.748776067165281</v>
      </c>
      <c r="F9" s="31">
        <f t="shared" si="2"/>
        <v>1.9004173900195598E-2</v>
      </c>
      <c r="G9" s="31">
        <f t="shared" si="3"/>
        <v>1.2124284477113001E-3</v>
      </c>
    </row>
    <row r="10" spans="1:8" ht="15" customHeight="1" x14ac:dyDescent="0.25">
      <c r="A10">
        <v>2016</v>
      </c>
      <c r="B10" s="48">
        <v>111.55800000000001</v>
      </c>
      <c r="C10" s="48">
        <v>240.005</v>
      </c>
      <c r="D10" s="37">
        <f t="shared" si="0"/>
        <v>100</v>
      </c>
      <c r="E10" s="37">
        <f t="shared" si="1"/>
        <v>100</v>
      </c>
      <c r="F10" s="31">
        <f t="shared" si="2"/>
        <v>1.0946986859990959E-2</v>
      </c>
      <c r="G10" s="31">
        <f t="shared" si="3"/>
        <v>1.2670779149543066E-2</v>
      </c>
    </row>
    <row r="11" spans="1:8" ht="15" customHeight="1" x14ac:dyDescent="0.25">
      <c r="A11">
        <v>2017</v>
      </c>
      <c r="B11" s="48">
        <v>114.008</v>
      </c>
      <c r="C11" s="48">
        <v>245.12100000000001</v>
      </c>
      <c r="D11" s="37">
        <f t="shared" si="0"/>
        <v>102.1961670162606</v>
      </c>
      <c r="E11" s="37">
        <f t="shared" si="1"/>
        <v>102.13162225786962</v>
      </c>
      <c r="F11" s="31">
        <f t="shared" si="2"/>
        <v>2.1961670162605973E-2</v>
      </c>
      <c r="G11" s="31">
        <f t="shared" si="3"/>
        <v>2.1316222578696253E-2</v>
      </c>
    </row>
    <row r="12" spans="1:8" ht="15" customHeight="1" x14ac:dyDescent="0.25">
      <c r="A12">
        <v>2018</v>
      </c>
      <c r="B12" s="48">
        <v>118.8</v>
      </c>
      <c r="C12" s="48">
        <v>251.1</v>
      </c>
      <c r="D12" s="37">
        <f t="shared" si="0"/>
        <v>106.49169042112622</v>
      </c>
      <c r="E12" s="37">
        <f t="shared" si="1"/>
        <v>104.62282035790922</v>
      </c>
      <c r="F12" s="31">
        <f t="shared" si="2"/>
        <v>4.2032138095572158E-2</v>
      </c>
      <c r="G12" s="31">
        <f t="shared" si="3"/>
        <v>2.4392034954165531E-2</v>
      </c>
    </row>
    <row r="13" spans="1:8" ht="15" customHeight="1" x14ac:dyDescent="0.25">
      <c r="A13">
        <v>2019</v>
      </c>
      <c r="B13" s="48">
        <v>124.892</v>
      </c>
      <c r="C13" s="48">
        <v>255.65299999999999</v>
      </c>
      <c r="D13" s="37">
        <f t="shared" si="0"/>
        <v>111.95252693666073</v>
      </c>
      <c r="E13" s="37">
        <f t="shared" si="1"/>
        <v>106.51986416949646</v>
      </c>
      <c r="F13" s="31">
        <f t="shared" si="2"/>
        <v>5.1279461279461369E-2</v>
      </c>
      <c r="G13" s="31">
        <f t="shared" si="3"/>
        <v>1.8132218239745201E-2</v>
      </c>
    </row>
    <row r="14" spans="1:8" ht="15" customHeight="1" x14ac:dyDescent="0.25">
      <c r="A14">
        <v>2020</v>
      </c>
      <c r="B14" s="48">
        <v>127.97499999999999</v>
      </c>
      <c r="C14" s="48">
        <v>258.85599999999999</v>
      </c>
      <c r="D14" s="37">
        <f t="shared" si="0"/>
        <v>114.71611179834704</v>
      </c>
      <c r="E14" s="37">
        <f t="shared" si="1"/>
        <v>107.8544196995896</v>
      </c>
      <c r="F14" s="31">
        <f t="shared" si="2"/>
        <v>2.4685328123498662E-2</v>
      </c>
      <c r="G14" s="31">
        <f t="shared" si="3"/>
        <v>1.2528701012700871E-2</v>
      </c>
    </row>
    <row r="15" spans="1:8" ht="15" customHeight="1" x14ac:dyDescent="0.25">
      <c r="A15">
        <v>2021</v>
      </c>
      <c r="B15" s="48">
        <v>134.619</v>
      </c>
      <c r="C15" s="48">
        <v>270.97300000000001</v>
      </c>
      <c r="D15" s="37">
        <f t="shared" si="0"/>
        <v>120.67175818856559</v>
      </c>
      <c r="E15" s="37">
        <f t="shared" si="1"/>
        <v>112.90306451948919</v>
      </c>
      <c r="F15" s="31">
        <f t="shared" si="2"/>
        <v>5.1916389919906214E-2</v>
      </c>
      <c r="G15" s="31">
        <f t="shared" si="3"/>
        <v>4.6809809314831474E-2</v>
      </c>
    </row>
    <row r="16" spans="1:8" ht="15" customHeight="1" x14ac:dyDescent="0.25">
      <c r="A16">
        <v>2022</v>
      </c>
      <c r="B16" s="48">
        <v>161.43899999999999</v>
      </c>
      <c r="C16" s="48">
        <v>292.62599999999998</v>
      </c>
      <c r="D16" s="37">
        <f t="shared" si="0"/>
        <v>144.71306405636528</v>
      </c>
      <c r="E16" s="37">
        <f t="shared" si="1"/>
        <v>121.92495989666881</v>
      </c>
      <c r="F16" s="31">
        <f t="shared" si="2"/>
        <v>0.19922893499431726</v>
      </c>
      <c r="G16" s="31">
        <f t="shared" si="3"/>
        <v>7.9908330350256129E-2</v>
      </c>
    </row>
    <row r="17" spans="1:7" ht="15" customHeight="1" x14ac:dyDescent="0.25">
      <c r="A17">
        <v>2023</v>
      </c>
      <c r="B17" s="48">
        <v>174.16200000000001</v>
      </c>
      <c r="C17" s="48">
        <v>304.70299999999997</v>
      </c>
      <c r="D17" s="37">
        <f t="shared" si="0"/>
        <v>156.11789383101166</v>
      </c>
      <c r="E17" s="37">
        <f t="shared" si="1"/>
        <v>126.95693839711673</v>
      </c>
      <c r="F17" s="31">
        <f t="shared" si="2"/>
        <v>7.8809952985338105E-2</v>
      </c>
      <c r="G17" s="31">
        <f t="shared" si="3"/>
        <v>4.1271110564338187E-2</v>
      </c>
    </row>
    <row r="18" spans="1:7" ht="15" customHeight="1" x14ac:dyDescent="0.25">
      <c r="A18">
        <v>2024</v>
      </c>
      <c r="B18" s="48">
        <v>174.34399999999999</v>
      </c>
      <c r="C18" s="48">
        <v>313.69799999999998</v>
      </c>
      <c r="D18" s="37">
        <f t="shared" si="0"/>
        <v>156.28103766650528</v>
      </c>
      <c r="E18" s="37">
        <f t="shared" si="1"/>
        <v>130.70477698381282</v>
      </c>
      <c r="F18" s="31">
        <f t="shared" si="2"/>
        <v>1.04500407666408E-3</v>
      </c>
      <c r="G18" s="31">
        <f t="shared" si="3"/>
        <v>2.9520549518711636E-2</v>
      </c>
    </row>
    <row r="19" spans="1:7" ht="15" customHeight="1" x14ac:dyDescent="0.25">
      <c r="A19">
        <v>2025</v>
      </c>
      <c r="B19" s="48">
        <v>177.178</v>
      </c>
      <c r="C19" s="48">
        <v>321.96199999999999</v>
      </c>
      <c r="D19" s="37">
        <f t="shared" si="0"/>
        <v>158.82142024776348</v>
      </c>
      <c r="E19" s="37">
        <f t="shared" si="1"/>
        <v>134.14803858252952</v>
      </c>
      <c r="F19" s="31">
        <f t="shared" si="2"/>
        <v>1.625521956591558E-2</v>
      </c>
      <c r="G19" s="31">
        <f t="shared" si="3"/>
        <v>2.6343808376209088E-2</v>
      </c>
    </row>
    <row r="21" spans="1:7" ht="15" customHeight="1" x14ac:dyDescent="0.25">
      <c r="A21" t="s">
        <v>762</v>
      </c>
    </row>
  </sheetData>
  <pageMargins left="0.75" right="0.75" top="1" bottom="1"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27"/>
  <sheetViews>
    <sheetView zoomScaleNormal="100" workbookViewId="0">
      <selection activeCell="D6" sqref="D6"/>
    </sheetView>
  </sheetViews>
  <sheetFormatPr defaultColWidth="8.7109375" defaultRowHeight="15" x14ac:dyDescent="0.25"/>
  <cols>
    <col min="1" max="1" width="16.5703125" customWidth="1"/>
    <col min="2" max="2" width="6.5703125" style="26" customWidth="1"/>
  </cols>
  <sheetData>
    <row r="1" spans="1:2" ht="15" customHeight="1" x14ac:dyDescent="0.25">
      <c r="A1" s="49" t="s">
        <v>763</v>
      </c>
      <c r="B1" s="49" t="s">
        <v>764</v>
      </c>
    </row>
    <row r="2" spans="1:2" ht="15" customHeight="1" x14ac:dyDescent="0.25">
      <c r="A2" s="50">
        <v>2000</v>
      </c>
      <c r="B2" s="26">
        <v>5.12</v>
      </c>
    </row>
    <row r="3" spans="1:2" ht="15" customHeight="1" x14ac:dyDescent="0.25">
      <c r="A3" s="50">
        <v>2001</v>
      </c>
      <c r="B3" s="26">
        <v>5.07</v>
      </c>
    </row>
    <row r="4" spans="1:2" ht="15" customHeight="1" x14ac:dyDescent="0.25">
      <c r="A4" s="50">
        <v>2002</v>
      </c>
      <c r="B4" s="26">
        <v>3.83</v>
      </c>
    </row>
    <row r="5" spans="1:2" ht="15" customHeight="1" x14ac:dyDescent="0.25">
      <c r="A5" s="50">
        <v>2003</v>
      </c>
      <c r="B5" s="26">
        <v>4.2699999999999996</v>
      </c>
    </row>
    <row r="6" spans="1:2" ht="15" customHeight="1" x14ac:dyDescent="0.25">
      <c r="A6" s="50">
        <v>2004</v>
      </c>
      <c r="B6" s="26">
        <v>4.24</v>
      </c>
    </row>
    <row r="7" spans="1:2" ht="15" customHeight="1" x14ac:dyDescent="0.25">
      <c r="A7" s="50">
        <v>2005</v>
      </c>
      <c r="B7" s="26">
        <v>4.3899999999999997</v>
      </c>
    </row>
    <row r="8" spans="1:2" ht="15" customHeight="1" x14ac:dyDescent="0.25">
      <c r="A8" s="50">
        <v>2006</v>
      </c>
      <c r="B8" s="26">
        <v>4.71</v>
      </c>
    </row>
    <row r="9" spans="1:2" ht="15" customHeight="1" x14ac:dyDescent="0.25">
      <c r="A9" s="50">
        <v>2007</v>
      </c>
      <c r="B9" s="26">
        <v>4.04</v>
      </c>
    </row>
    <row r="10" spans="1:2" ht="15" customHeight="1" x14ac:dyDescent="0.25">
      <c r="A10" s="50">
        <v>2008</v>
      </c>
      <c r="B10" s="26">
        <v>2.25</v>
      </c>
    </row>
    <row r="11" spans="1:2" ht="15" customHeight="1" x14ac:dyDescent="0.25">
      <c r="A11" s="50">
        <v>2009</v>
      </c>
      <c r="B11" s="26">
        <v>3.85</v>
      </c>
    </row>
    <row r="12" spans="1:2" ht="15" customHeight="1" x14ac:dyDescent="0.25">
      <c r="A12" s="50">
        <v>2010</v>
      </c>
      <c r="B12" s="26">
        <v>3.3</v>
      </c>
    </row>
    <row r="13" spans="1:2" ht="15" customHeight="1" x14ac:dyDescent="0.25">
      <c r="A13" s="50">
        <v>2011</v>
      </c>
      <c r="B13" s="26">
        <v>1.89</v>
      </c>
    </row>
    <row r="14" spans="1:2" ht="15" customHeight="1" x14ac:dyDescent="0.25">
      <c r="A14" s="50">
        <v>2012</v>
      </c>
      <c r="B14" s="26">
        <v>1.78</v>
      </c>
    </row>
    <row r="15" spans="1:2" ht="15" customHeight="1" x14ac:dyDescent="0.25">
      <c r="A15" s="50">
        <v>2013</v>
      </c>
      <c r="B15" s="26">
        <v>3.04</v>
      </c>
    </row>
    <row r="16" spans="1:2" ht="15" customHeight="1" x14ac:dyDescent="0.25">
      <c r="A16" s="50">
        <v>2014</v>
      </c>
      <c r="B16" s="26">
        <v>2.17</v>
      </c>
    </row>
    <row r="17" spans="1:2" ht="15" customHeight="1" x14ac:dyDescent="0.25">
      <c r="A17" s="50">
        <v>2015</v>
      </c>
      <c r="B17" s="26">
        <v>2.27</v>
      </c>
    </row>
    <row r="18" spans="1:2" ht="15" customHeight="1" x14ac:dyDescent="0.25">
      <c r="A18" s="50">
        <v>2016</v>
      </c>
      <c r="B18" s="26">
        <v>2.4500000000000002</v>
      </c>
    </row>
    <row r="19" spans="1:2" ht="15" customHeight="1" x14ac:dyDescent="0.25">
      <c r="A19" s="50">
        <v>2017</v>
      </c>
      <c r="B19" s="26">
        <v>2.4</v>
      </c>
    </row>
    <row r="20" spans="1:2" ht="15" customHeight="1" x14ac:dyDescent="0.25">
      <c r="A20" s="50">
        <v>2018</v>
      </c>
      <c r="B20" s="26">
        <v>2.69</v>
      </c>
    </row>
    <row r="21" spans="1:2" ht="15" customHeight="1" x14ac:dyDescent="0.25">
      <c r="A21" s="50">
        <v>2019</v>
      </c>
      <c r="B21" s="26">
        <v>1.92</v>
      </c>
    </row>
    <row r="22" spans="1:2" ht="15" customHeight="1" x14ac:dyDescent="0.25">
      <c r="A22" s="50">
        <v>2020</v>
      </c>
      <c r="B22" s="26">
        <v>0.93</v>
      </c>
    </row>
    <row r="23" spans="1:2" ht="15" customHeight="1" x14ac:dyDescent="0.25">
      <c r="A23" s="50">
        <v>2021</v>
      </c>
      <c r="B23" s="26">
        <v>1.52</v>
      </c>
    </row>
    <row r="24" spans="1:2" ht="15" customHeight="1" x14ac:dyDescent="0.25">
      <c r="A24" s="50">
        <v>2022</v>
      </c>
      <c r="B24" s="26">
        <v>3.88</v>
      </c>
    </row>
    <row r="25" spans="1:2" ht="15" customHeight="1" x14ac:dyDescent="0.25">
      <c r="A25" s="50">
        <v>2023</v>
      </c>
      <c r="B25" s="26">
        <v>3.88</v>
      </c>
    </row>
    <row r="26" spans="1:2" ht="15" customHeight="1" x14ac:dyDescent="0.25">
      <c r="A26" s="50">
        <v>2024</v>
      </c>
      <c r="B26" s="26">
        <v>4.58</v>
      </c>
    </row>
    <row r="27" spans="1:2" ht="15" customHeight="1" x14ac:dyDescent="0.25">
      <c r="A27" s="50">
        <v>2025</v>
      </c>
      <c r="B27" s="26">
        <v>4.18</v>
      </c>
    </row>
  </sheetData>
  <pageMargins left="0.7" right="0.7" top="0.75" bottom="0.75"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13"/>
  <sheetViews>
    <sheetView zoomScaleNormal="100" workbookViewId="0">
      <selection activeCell="N24" sqref="N24"/>
    </sheetView>
  </sheetViews>
  <sheetFormatPr defaultColWidth="8.7109375" defaultRowHeight="15" x14ac:dyDescent="0.25"/>
  <sheetData>
    <row r="1" spans="1:2" ht="15" customHeight="1" x14ac:dyDescent="0.25">
      <c r="A1" t="s">
        <v>643</v>
      </c>
      <c r="B1" t="s">
        <v>765</v>
      </c>
    </row>
    <row r="2" spans="1:2" ht="15" customHeight="1" x14ac:dyDescent="0.25">
      <c r="A2">
        <v>2016</v>
      </c>
      <c r="B2">
        <v>3.51</v>
      </c>
    </row>
    <row r="3" spans="1:2" ht="15" customHeight="1" x14ac:dyDescent="0.25">
      <c r="A3">
        <v>2017</v>
      </c>
      <c r="B3">
        <v>4.0999999999999996</v>
      </c>
    </row>
    <row r="4" spans="1:2" ht="15" customHeight="1" x14ac:dyDescent="0.25">
      <c r="A4">
        <v>2018</v>
      </c>
      <c r="B4">
        <v>4.9000000000000004</v>
      </c>
    </row>
    <row r="5" spans="1:2" ht="15" customHeight="1" x14ac:dyDescent="0.25">
      <c r="A5">
        <v>2019</v>
      </c>
      <c r="B5">
        <v>5.28</v>
      </c>
    </row>
    <row r="6" spans="1:2" ht="15" customHeight="1" x14ac:dyDescent="0.25">
      <c r="A6">
        <v>2020</v>
      </c>
      <c r="B6">
        <v>3.54</v>
      </c>
    </row>
    <row r="7" spans="1:2" ht="15" customHeight="1" x14ac:dyDescent="0.25">
      <c r="A7">
        <v>2021</v>
      </c>
      <c r="B7">
        <v>3.25</v>
      </c>
    </row>
    <row r="8" spans="1:2" ht="15" customHeight="1" x14ac:dyDescent="0.25">
      <c r="A8">
        <v>2022</v>
      </c>
      <c r="B8">
        <v>4.8499999999999996</v>
      </c>
    </row>
    <row r="9" spans="1:2" ht="15" customHeight="1" x14ac:dyDescent="0.25">
      <c r="A9">
        <v>2023</v>
      </c>
      <c r="B9">
        <v>8.19</v>
      </c>
    </row>
    <row r="10" spans="1:2" ht="15" customHeight="1" x14ac:dyDescent="0.25">
      <c r="A10">
        <v>2024</v>
      </c>
      <c r="B10">
        <v>8.31</v>
      </c>
    </row>
    <row r="11" spans="1:2" ht="15" customHeight="1" x14ac:dyDescent="0.25">
      <c r="A11">
        <v>2025</v>
      </c>
      <c r="B11">
        <v>7.37</v>
      </c>
    </row>
    <row r="13" spans="1:2" ht="15" customHeight="1" x14ac:dyDescent="0.25">
      <c r="A13" t="s">
        <v>766</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7"/>
  <sheetViews>
    <sheetView zoomScaleNormal="100" workbookViewId="0">
      <selection activeCell="D9" sqref="D9"/>
    </sheetView>
  </sheetViews>
  <sheetFormatPr defaultColWidth="8.7109375" defaultRowHeight="15" x14ac:dyDescent="0.25"/>
  <cols>
    <col min="1" max="33" width="12.7109375" customWidth="1"/>
  </cols>
  <sheetData>
    <row r="1" spans="1:33" ht="31.5" customHeight="1" x14ac:dyDescent="0.25">
      <c r="A1" s="3" t="s">
        <v>460</v>
      </c>
    </row>
    <row r="3" spans="1:33" ht="15" customHeight="1" x14ac:dyDescent="0.25">
      <c r="A3" t="s">
        <v>461</v>
      </c>
    </row>
    <row r="4" spans="1:33" ht="18" customHeight="1" x14ac:dyDescent="0.25">
      <c r="A4" s="4" t="s">
        <v>462</v>
      </c>
      <c r="Q4" s="5"/>
      <c r="R4" s="5"/>
      <c r="S4" s="5"/>
    </row>
    <row r="6" spans="1:33" ht="15" customHeight="1" x14ac:dyDescent="0.25">
      <c r="A6" s="2"/>
      <c r="B6" s="2" t="s">
        <v>463</v>
      </c>
      <c r="C6" s="2" t="s">
        <v>463</v>
      </c>
      <c r="D6" s="2" t="s">
        <v>464</v>
      </c>
      <c r="E6" s="2" t="s">
        <v>465</v>
      </c>
      <c r="F6" s="2" t="s">
        <v>463</v>
      </c>
      <c r="G6" s="2" t="s">
        <v>464</v>
      </c>
      <c r="H6" s="2" t="s">
        <v>463</v>
      </c>
      <c r="I6" s="2" t="s">
        <v>463</v>
      </c>
      <c r="J6" s="2" t="s">
        <v>464</v>
      </c>
      <c r="K6" s="2" t="s">
        <v>464</v>
      </c>
      <c r="L6" s="2" t="s">
        <v>463</v>
      </c>
      <c r="M6" s="2" t="s">
        <v>463</v>
      </c>
      <c r="N6" s="2" t="s">
        <v>463</v>
      </c>
      <c r="O6" s="2" t="s">
        <v>464</v>
      </c>
      <c r="P6" s="2" t="s">
        <v>464</v>
      </c>
      <c r="Q6" s="2" t="s">
        <v>464</v>
      </c>
      <c r="R6" s="2" t="s">
        <v>463</v>
      </c>
      <c r="S6" s="2" t="s">
        <v>465</v>
      </c>
      <c r="T6" s="2" t="s">
        <v>465</v>
      </c>
      <c r="U6" s="2" t="s">
        <v>464</v>
      </c>
      <c r="V6" s="2" t="s">
        <v>464</v>
      </c>
      <c r="W6" s="2" t="s">
        <v>463</v>
      </c>
      <c r="X6" s="2" t="s">
        <v>463</v>
      </c>
      <c r="Y6" s="2" t="s">
        <v>466</v>
      </c>
      <c r="Z6" s="2" t="s">
        <v>464</v>
      </c>
      <c r="AA6" s="2" t="s">
        <v>464</v>
      </c>
      <c r="AB6" s="2" t="s">
        <v>464</v>
      </c>
      <c r="AC6" s="2" t="s">
        <v>464</v>
      </c>
      <c r="AD6" s="2" t="s">
        <v>465</v>
      </c>
      <c r="AE6" s="2" t="s">
        <v>465</v>
      </c>
      <c r="AF6" s="2" t="s">
        <v>467</v>
      </c>
      <c r="AG6" s="2" t="s">
        <v>467</v>
      </c>
    </row>
    <row r="7" spans="1:33" ht="75" customHeight="1" x14ac:dyDescent="0.25">
      <c r="A7" s="6" t="s">
        <v>468</v>
      </c>
      <c r="B7" s="6" t="s">
        <v>469</v>
      </c>
      <c r="C7" s="6" t="s">
        <v>470</v>
      </c>
      <c r="D7" s="6" t="s">
        <v>471</v>
      </c>
      <c r="E7" s="6" t="s">
        <v>472</v>
      </c>
      <c r="F7" s="6" t="s">
        <v>473</v>
      </c>
      <c r="G7" s="6" t="s">
        <v>474</v>
      </c>
      <c r="H7" s="6" t="s">
        <v>475</v>
      </c>
      <c r="I7" s="6" t="s">
        <v>476</v>
      </c>
      <c r="J7" s="6" t="s">
        <v>477</v>
      </c>
      <c r="K7" s="6" t="s">
        <v>478</v>
      </c>
      <c r="L7" s="6" t="s">
        <v>479</v>
      </c>
      <c r="M7" s="6" t="s">
        <v>480</v>
      </c>
      <c r="N7" s="6" t="s">
        <v>481</v>
      </c>
      <c r="O7" s="6" t="s">
        <v>482</v>
      </c>
      <c r="P7" s="6" t="s">
        <v>483</v>
      </c>
      <c r="Q7" s="6" t="s">
        <v>484</v>
      </c>
      <c r="R7" s="6" t="s">
        <v>485</v>
      </c>
      <c r="S7" s="6" t="s">
        <v>486</v>
      </c>
      <c r="T7" s="6" t="s">
        <v>487</v>
      </c>
      <c r="U7" s="6" t="s">
        <v>488</v>
      </c>
      <c r="V7" s="6" t="s">
        <v>489</v>
      </c>
      <c r="W7" s="6" t="s">
        <v>490</v>
      </c>
      <c r="X7" s="6" t="s">
        <v>491</v>
      </c>
      <c r="Y7" s="6" t="s">
        <v>492</v>
      </c>
      <c r="Z7" s="6" t="s">
        <v>493</v>
      </c>
      <c r="AA7" s="6" t="s">
        <v>494</v>
      </c>
      <c r="AB7" s="6" t="s">
        <v>495</v>
      </c>
      <c r="AC7" s="6" t="s">
        <v>496</v>
      </c>
      <c r="AD7" s="6" t="s">
        <v>497</v>
      </c>
      <c r="AE7" s="6" t="s">
        <v>498</v>
      </c>
      <c r="AF7" s="6" t="s">
        <v>499</v>
      </c>
      <c r="AG7" s="6" t="s">
        <v>500</v>
      </c>
    </row>
    <row r="8" spans="1:33" ht="15" customHeight="1" x14ac:dyDescent="0.25">
      <c r="A8" s="7">
        <v>2025</v>
      </c>
      <c r="B8" s="8">
        <v>528.34500000000003</v>
      </c>
      <c r="C8" s="9">
        <v>32.113</v>
      </c>
      <c r="D8" s="8">
        <f t="shared" ref="D8:D17" si="0">B8-C8</f>
        <v>496.23200000000003</v>
      </c>
      <c r="E8" s="9">
        <v>178.14</v>
      </c>
      <c r="F8" s="9">
        <v>53.348799999999997</v>
      </c>
      <c r="G8" s="8">
        <f t="shared" ref="G8:G17" si="1">E8*F8</f>
        <v>9503.5552319999988</v>
      </c>
      <c r="H8" s="8">
        <v>951.78700000000003</v>
      </c>
      <c r="I8" s="8">
        <v>710.2</v>
      </c>
      <c r="J8" s="8">
        <f t="shared" ref="J8:J17" si="2">H8+I8</f>
        <v>1661.9870000000001</v>
      </c>
      <c r="K8" s="8">
        <f t="shared" ref="K8:K17" si="3">G8-J8</f>
        <v>7841.5682319999987</v>
      </c>
      <c r="L8" s="8">
        <f>16.249+1611.026</f>
        <v>1627.2750000000001</v>
      </c>
      <c r="M8" s="8">
        <v>0</v>
      </c>
      <c r="N8" s="8">
        <v>0</v>
      </c>
      <c r="O8" s="8">
        <f t="shared" ref="O8:O17" si="4">SUM(L8:N8)</f>
        <v>1627.2750000000001</v>
      </c>
      <c r="P8" s="8">
        <f t="shared" ref="P8:P17" si="5">G8+O8</f>
        <v>11130.830231999998</v>
      </c>
      <c r="Q8" s="8">
        <f t="shared" ref="Q8:Q17" si="6">K8+O8</f>
        <v>9468.8432319999993</v>
      </c>
      <c r="R8" s="8">
        <v>472.49</v>
      </c>
      <c r="S8" s="8">
        <f>23.937+4.454</f>
        <v>28.391000000000002</v>
      </c>
      <c r="T8" s="8">
        <v>35.585000000000001</v>
      </c>
      <c r="U8" s="8">
        <f t="shared" ref="U8:U17" si="7">S8+T8</f>
        <v>63.975999999999999</v>
      </c>
      <c r="V8" s="8">
        <f t="shared" ref="V8:V17" si="8">R8-U8</f>
        <v>408.51400000000001</v>
      </c>
      <c r="W8" s="8">
        <v>480.73399999999998</v>
      </c>
      <c r="X8" s="8">
        <v>302.50700000000001</v>
      </c>
      <c r="Y8" s="10">
        <f>SUMIF('10 YR UST'!$A$2:$A$27,A8,'10 YR UST'!$B$2:$B$27)/100</f>
        <v>4.1799999999999997E-2</v>
      </c>
      <c r="Z8" s="10">
        <f t="shared" ref="Z8:Z17" si="9">B8/Q8</f>
        <v>5.579826247565866E-2</v>
      </c>
      <c r="AA8" s="10">
        <f t="shared" ref="AA8:AA17" si="10">D8/K8</f>
        <v>6.328223963861826E-2</v>
      </c>
      <c r="AB8" s="11">
        <f t="shared" ref="AB8:AB17" si="11">Q8/B8</f>
        <v>17.921705007144951</v>
      </c>
      <c r="AC8" s="11">
        <f t="shared" ref="AC8:AC17" si="12">K8/D8</f>
        <v>15.802222009060275</v>
      </c>
      <c r="AD8" s="10">
        <v>0.40100000000000002</v>
      </c>
      <c r="AE8" s="10">
        <v>0.97</v>
      </c>
      <c r="AF8" s="12">
        <f>WALT_Calc_EGP!H17</f>
        <v>4.097525424296748</v>
      </c>
      <c r="AG8" s="12">
        <f>WALT_Calc_EGP!I17</f>
        <v>4.1074228983117829</v>
      </c>
    </row>
    <row r="9" spans="1:33" ht="15" customHeight="1" x14ac:dyDescent="0.25">
      <c r="A9" s="7">
        <v>2024</v>
      </c>
      <c r="B9" s="8">
        <v>464.995</v>
      </c>
      <c r="C9" s="9">
        <v>38.956000000000003</v>
      </c>
      <c r="D9" s="8">
        <f t="shared" si="0"/>
        <v>426.03899999999999</v>
      </c>
      <c r="E9" s="9">
        <v>160.49</v>
      </c>
      <c r="F9" s="9">
        <v>51.825797999999999</v>
      </c>
      <c r="G9" s="8">
        <f t="shared" si="1"/>
        <v>8317.5223210200002</v>
      </c>
      <c r="H9" s="8">
        <v>888.14</v>
      </c>
      <c r="I9" s="8">
        <v>674.47199999999998</v>
      </c>
      <c r="J9" s="8">
        <f t="shared" si="2"/>
        <v>1562.6120000000001</v>
      </c>
      <c r="K9" s="8">
        <f t="shared" si="3"/>
        <v>6754.9103210200001</v>
      </c>
      <c r="L9" s="8">
        <f>-3.595+1507.157</f>
        <v>1503.5619999999999</v>
      </c>
      <c r="M9" s="8">
        <v>0</v>
      </c>
      <c r="N9" s="8">
        <v>0</v>
      </c>
      <c r="O9" s="8">
        <f t="shared" si="4"/>
        <v>1503.5619999999999</v>
      </c>
      <c r="P9" s="8">
        <f t="shared" si="5"/>
        <v>9821.0843210200001</v>
      </c>
      <c r="Q9" s="8">
        <f t="shared" si="6"/>
        <v>8258.4723210199991</v>
      </c>
      <c r="R9" s="8">
        <v>406.46100000000001</v>
      </c>
      <c r="S9" s="8">
        <f>18.54+2.964</f>
        <v>21.503999999999998</v>
      </c>
      <c r="T9" s="8">
        <v>34.912999999999997</v>
      </c>
      <c r="U9" s="8">
        <f t="shared" si="7"/>
        <v>56.416999999999994</v>
      </c>
      <c r="V9" s="8">
        <f t="shared" si="8"/>
        <v>350.04400000000004</v>
      </c>
      <c r="W9" s="8">
        <v>416.58699999999999</v>
      </c>
      <c r="X9" s="8">
        <v>252.79400000000001</v>
      </c>
      <c r="Y9" s="10">
        <f>SUMIF('10 YR UST'!$A$2:$A$27,A9,'10 YR UST'!$B$2:$B$27)/100</f>
        <v>4.58E-2</v>
      </c>
      <c r="Z9" s="10">
        <f t="shared" si="9"/>
        <v>5.6305207782372121E-2</v>
      </c>
      <c r="AA9" s="10">
        <f t="shared" si="10"/>
        <v>6.3071007571225246E-2</v>
      </c>
      <c r="AB9" s="11">
        <f t="shared" si="11"/>
        <v>17.760346500543015</v>
      </c>
      <c r="AC9" s="11">
        <f t="shared" si="12"/>
        <v>15.855145470297321</v>
      </c>
      <c r="AD9" s="10">
        <v>0.53</v>
      </c>
      <c r="AE9" s="10">
        <v>0.97099999999999997</v>
      </c>
      <c r="AF9" s="12">
        <f>WALT_Calc_EGP!H16</f>
        <v>4.2509556808462357</v>
      </c>
      <c r="AG9" s="12">
        <f>WALT_Calc_EGP!I16</f>
        <v>4.2749859026740404</v>
      </c>
    </row>
    <row r="10" spans="1:33" ht="15" customHeight="1" x14ac:dyDescent="0.25">
      <c r="A10" s="7">
        <v>2023</v>
      </c>
      <c r="B10" s="8">
        <v>413.32100000000003</v>
      </c>
      <c r="C10" s="9">
        <v>47.996000000000002</v>
      </c>
      <c r="D10" s="8">
        <f t="shared" si="0"/>
        <v>365.32500000000005</v>
      </c>
      <c r="E10" s="9">
        <v>183.54</v>
      </c>
      <c r="F10" s="9">
        <v>47.700431999999999</v>
      </c>
      <c r="G10" s="8">
        <f t="shared" si="1"/>
        <v>8754.9372892800002</v>
      </c>
      <c r="H10" s="8">
        <v>814.36400000000003</v>
      </c>
      <c r="I10" s="8">
        <v>639.64700000000005</v>
      </c>
      <c r="J10" s="8">
        <f t="shared" si="2"/>
        <v>1454.011</v>
      </c>
      <c r="K10" s="8">
        <f t="shared" si="3"/>
        <v>7300.9262892799998</v>
      </c>
      <c r="L10" s="8">
        <f>-1.52+1676.347</f>
        <v>1674.827</v>
      </c>
      <c r="M10" s="8">
        <v>0</v>
      </c>
      <c r="N10" s="8">
        <v>0</v>
      </c>
      <c r="O10" s="8">
        <f t="shared" si="4"/>
        <v>1674.827</v>
      </c>
      <c r="P10" s="8">
        <f t="shared" si="5"/>
        <v>10429.76428928</v>
      </c>
      <c r="Q10" s="8">
        <f t="shared" si="6"/>
        <v>8975.7532892799991</v>
      </c>
      <c r="R10" s="8">
        <v>349.09</v>
      </c>
      <c r="S10" s="8">
        <f>16.352+3.503</f>
        <v>19.855</v>
      </c>
      <c r="T10" s="8">
        <v>31.672000000000001</v>
      </c>
      <c r="U10" s="8">
        <f t="shared" si="7"/>
        <v>51.527000000000001</v>
      </c>
      <c r="V10" s="8">
        <f t="shared" si="8"/>
        <v>297.56299999999999</v>
      </c>
      <c r="W10" s="8">
        <v>338.202</v>
      </c>
      <c r="X10" s="8">
        <v>225.625</v>
      </c>
      <c r="Y10" s="10">
        <f>SUMIF('10 YR UST'!$A$2:$A$27,A10,'10 YR UST'!$B$2:$B$27)/100</f>
        <v>3.8800000000000001E-2</v>
      </c>
      <c r="Z10" s="10">
        <f t="shared" si="9"/>
        <v>4.6048614158506473E-2</v>
      </c>
      <c r="AA10" s="10">
        <f t="shared" si="10"/>
        <v>5.0038171257311456E-2</v>
      </c>
      <c r="AB10" s="11">
        <f t="shared" si="11"/>
        <v>21.716180134278197</v>
      </c>
      <c r="AC10" s="11">
        <f t="shared" si="12"/>
        <v>19.984743144542527</v>
      </c>
      <c r="AD10" s="10">
        <v>0.55000000000000004</v>
      </c>
      <c r="AE10" s="10">
        <v>0.98699999999999999</v>
      </c>
      <c r="AF10" s="12">
        <f>WALT_Calc_EGP!H15</f>
        <v>4.2724317175761808</v>
      </c>
      <c r="AG10" s="12">
        <f>WALT_Calc_EGP!I15</f>
        <v>4.2649716500889818</v>
      </c>
    </row>
    <row r="11" spans="1:33" ht="15" customHeight="1" x14ac:dyDescent="0.25">
      <c r="A11" s="7">
        <v>2022</v>
      </c>
      <c r="B11" s="8">
        <v>354.03100000000001</v>
      </c>
      <c r="C11" s="9">
        <v>38.499000000000002</v>
      </c>
      <c r="D11" s="8">
        <f t="shared" si="0"/>
        <v>315.53199999999998</v>
      </c>
      <c r="E11" s="9">
        <v>148.06</v>
      </c>
      <c r="F11" s="9">
        <v>43.575538999999999</v>
      </c>
      <c r="G11" s="8">
        <f t="shared" si="1"/>
        <v>6451.7943043400001</v>
      </c>
      <c r="H11" s="8">
        <v>730.44500000000005</v>
      </c>
      <c r="I11" s="8">
        <v>538.44899999999996</v>
      </c>
      <c r="J11" s="8">
        <f t="shared" si="2"/>
        <v>1268.894</v>
      </c>
      <c r="K11" s="8">
        <f t="shared" si="3"/>
        <v>5182.9003043399998</v>
      </c>
      <c r="L11" s="8">
        <f>168.454+1691.259</f>
        <v>1859.713</v>
      </c>
      <c r="M11" s="8">
        <v>2.0310000000000001</v>
      </c>
      <c r="N11" s="8">
        <v>0</v>
      </c>
      <c r="O11" s="8">
        <f t="shared" si="4"/>
        <v>1861.7439999999999</v>
      </c>
      <c r="P11" s="8">
        <f t="shared" si="5"/>
        <v>8313.5383043399997</v>
      </c>
      <c r="Q11" s="8">
        <f t="shared" si="6"/>
        <v>7044.6443043399995</v>
      </c>
      <c r="R11" s="8">
        <v>298.928</v>
      </c>
      <c r="S11" s="8">
        <f>13.224+3.687</f>
        <v>16.911000000000001</v>
      </c>
      <c r="T11" s="8">
        <v>36.853000000000002</v>
      </c>
      <c r="U11" s="8">
        <f t="shared" si="7"/>
        <v>53.764000000000003</v>
      </c>
      <c r="V11" s="8">
        <f t="shared" si="8"/>
        <v>245.16399999999999</v>
      </c>
      <c r="W11" s="8">
        <v>316.50099999999998</v>
      </c>
      <c r="X11" s="8">
        <v>193.93600000000001</v>
      </c>
      <c r="Y11" s="10">
        <f>SUMIF('10 YR UST'!$A$2:$A$27,A11,'10 YR UST'!$B$2:$B$27)/100</f>
        <v>3.8800000000000001E-2</v>
      </c>
      <c r="Z11" s="10">
        <f t="shared" si="9"/>
        <v>5.0255340753243123E-2</v>
      </c>
      <c r="AA11" s="10">
        <f t="shared" si="10"/>
        <v>6.0879426859857456E-2</v>
      </c>
      <c r="AB11" s="11">
        <f t="shared" si="11"/>
        <v>19.898382639768833</v>
      </c>
      <c r="AC11" s="11">
        <f t="shared" si="12"/>
        <v>16.425910222544783</v>
      </c>
      <c r="AD11" s="10">
        <v>0.39</v>
      </c>
      <c r="AE11" s="10">
        <v>0.98699999999999999</v>
      </c>
      <c r="AF11" s="12">
        <f>WALT_Calc_EGP!H14</f>
        <v>4.358625793635337</v>
      </c>
      <c r="AG11" s="12">
        <f>WALT_Calc_EGP!I14</f>
        <v>4.2481257309783924</v>
      </c>
    </row>
    <row r="12" spans="1:33" ht="15" customHeight="1" x14ac:dyDescent="0.25">
      <c r="A12" s="7">
        <v>2021</v>
      </c>
      <c r="B12" s="8">
        <v>295.233</v>
      </c>
      <c r="C12" s="9">
        <v>32.945</v>
      </c>
      <c r="D12" s="8">
        <f t="shared" si="0"/>
        <v>262.28800000000001</v>
      </c>
      <c r="E12" s="9">
        <v>227.85</v>
      </c>
      <c r="F12" s="9">
        <v>41.268846000000003</v>
      </c>
      <c r="G12" s="8">
        <f t="shared" si="1"/>
        <v>9403.1065611000013</v>
      </c>
      <c r="H12" s="8">
        <v>544.505</v>
      </c>
      <c r="I12" s="8">
        <v>504.61399999999998</v>
      </c>
      <c r="J12" s="8">
        <f t="shared" si="2"/>
        <v>1049.1189999999999</v>
      </c>
      <c r="K12" s="8">
        <f t="shared" si="3"/>
        <v>8353.9875611000007</v>
      </c>
      <c r="L12" s="8">
        <f>207.066+1242.57</f>
        <v>1449.636</v>
      </c>
      <c r="M12" s="8">
        <v>2.1419999999999999</v>
      </c>
      <c r="N12" s="8">
        <v>0</v>
      </c>
      <c r="O12" s="8">
        <f t="shared" si="4"/>
        <v>1451.778</v>
      </c>
      <c r="P12" s="8">
        <f t="shared" si="5"/>
        <v>10854.884561100002</v>
      </c>
      <c r="Q12" s="8">
        <f t="shared" si="6"/>
        <v>9805.7655611000009</v>
      </c>
      <c r="R12" s="8">
        <v>245.93299999999999</v>
      </c>
      <c r="S12" s="8">
        <f>13.603+3.935</f>
        <v>17.538</v>
      </c>
      <c r="T12" s="8">
        <v>33.381</v>
      </c>
      <c r="U12" s="8">
        <f t="shared" si="7"/>
        <v>50.918999999999997</v>
      </c>
      <c r="V12" s="8">
        <f t="shared" si="8"/>
        <v>195.01400000000001</v>
      </c>
      <c r="W12" s="8">
        <v>256.49200000000002</v>
      </c>
      <c r="X12" s="8">
        <v>131.75899999999999</v>
      </c>
      <c r="Y12" s="10">
        <f>SUMIF('10 YR UST'!$A$2:$A$27,A12,'10 YR UST'!$B$2:$B$27)/100</f>
        <v>1.52E-2</v>
      </c>
      <c r="Z12" s="10">
        <f t="shared" si="9"/>
        <v>3.0108103050230487E-2</v>
      </c>
      <c r="AA12" s="10">
        <f t="shared" si="10"/>
        <v>3.1396742942416303E-2</v>
      </c>
      <c r="AB12" s="11">
        <f t="shared" si="11"/>
        <v>33.213650103816313</v>
      </c>
      <c r="AC12" s="11">
        <f t="shared" si="12"/>
        <v>31.85043753850729</v>
      </c>
      <c r="AD12" s="10">
        <v>0.312</v>
      </c>
      <c r="AE12" s="10">
        <v>0.98699999999999999</v>
      </c>
      <c r="AF12" s="12">
        <f>WALT_Calc_EGP!H13</f>
        <v>4.1511194431874499</v>
      </c>
      <c r="AG12" s="12">
        <f>WALT_Calc_EGP!I13</f>
        <v>4.0682626330197476</v>
      </c>
    </row>
    <row r="13" spans="1:33" ht="15" customHeight="1" x14ac:dyDescent="0.25">
      <c r="A13" s="7">
        <v>2020</v>
      </c>
      <c r="B13" s="8">
        <v>260.108</v>
      </c>
      <c r="C13" s="9">
        <v>33.927</v>
      </c>
      <c r="D13" s="8">
        <f t="shared" si="0"/>
        <v>226.18100000000001</v>
      </c>
      <c r="E13" s="9">
        <v>138.06</v>
      </c>
      <c r="F13" s="9">
        <v>39.676828</v>
      </c>
      <c r="G13" s="8">
        <f t="shared" si="1"/>
        <v>5477.7828736800002</v>
      </c>
      <c r="H13" s="8">
        <v>502.73899999999998</v>
      </c>
      <c r="I13" s="8">
        <v>359.58800000000002</v>
      </c>
      <c r="J13" s="8">
        <f t="shared" si="2"/>
        <v>862.327</v>
      </c>
      <c r="K13" s="8">
        <f t="shared" si="3"/>
        <v>4615.45587368</v>
      </c>
      <c r="L13" s="8">
        <f>124.194+1107.708</f>
        <v>1231.902</v>
      </c>
      <c r="M13" s="8">
        <v>78.992999999999995</v>
      </c>
      <c r="N13" s="8">
        <v>0</v>
      </c>
      <c r="O13" s="8">
        <f t="shared" si="4"/>
        <v>1310.895</v>
      </c>
      <c r="P13" s="8">
        <f t="shared" si="5"/>
        <v>6788.6778736800006</v>
      </c>
      <c r="Q13" s="8">
        <f t="shared" si="6"/>
        <v>5926.3508736799995</v>
      </c>
      <c r="R13" s="8">
        <v>211.572</v>
      </c>
      <c r="S13" s="8">
        <f>11.811+3.284</f>
        <v>15.094999999999999</v>
      </c>
      <c r="T13" s="8">
        <v>18.199000000000002</v>
      </c>
      <c r="U13" s="8">
        <f t="shared" si="7"/>
        <v>33.293999999999997</v>
      </c>
      <c r="V13" s="8">
        <f t="shared" si="8"/>
        <v>178.27800000000002</v>
      </c>
      <c r="W13" s="8">
        <v>196.285</v>
      </c>
      <c r="X13" s="8">
        <v>119.765</v>
      </c>
      <c r="Y13" s="10">
        <f>SUMIF('10 YR UST'!$A$2:$A$27,A13,'10 YR UST'!$B$2:$B$27)/100</f>
        <v>9.300000000000001E-3</v>
      </c>
      <c r="Z13" s="10">
        <f t="shared" si="9"/>
        <v>4.3890077645450741E-2</v>
      </c>
      <c r="AA13" s="10">
        <f t="shared" si="10"/>
        <v>4.9005126728610918E-2</v>
      </c>
      <c r="AB13" s="11">
        <f t="shared" si="11"/>
        <v>22.784193003214046</v>
      </c>
      <c r="AC13" s="11">
        <f t="shared" si="12"/>
        <v>20.406028241452642</v>
      </c>
      <c r="AD13" s="10">
        <v>0.217</v>
      </c>
      <c r="AE13" s="10">
        <v>0.98</v>
      </c>
      <c r="AF13" s="12">
        <f>WALT_Calc_EGP!H12</f>
        <v>3.9452921473762559</v>
      </c>
      <c r="AG13" s="12">
        <f>WALT_Calc_EGP!I12</f>
        <v>3.9275985114393914</v>
      </c>
    </row>
    <row r="14" spans="1:33" ht="15" customHeight="1" x14ac:dyDescent="0.25">
      <c r="A14" s="7">
        <v>2019</v>
      </c>
      <c r="B14" s="8">
        <v>238.316</v>
      </c>
      <c r="C14" s="9">
        <v>34.463000000000001</v>
      </c>
      <c r="D14" s="8">
        <f t="shared" si="0"/>
        <v>203.85300000000001</v>
      </c>
      <c r="E14" s="9">
        <v>132.66999999999999</v>
      </c>
      <c r="F14" s="9">
        <v>38.925953</v>
      </c>
      <c r="G14" s="8">
        <f t="shared" si="1"/>
        <v>5164.3061845099992</v>
      </c>
      <c r="H14" s="8">
        <v>452.69799999999998</v>
      </c>
      <c r="I14" s="8">
        <v>419.99900000000002</v>
      </c>
      <c r="J14" s="8">
        <f t="shared" si="2"/>
        <v>872.697</v>
      </c>
      <c r="K14" s="8">
        <f t="shared" si="3"/>
        <v>4291.6091845099991</v>
      </c>
      <c r="L14" s="8">
        <f>111.394+938.115</f>
        <v>1049.509</v>
      </c>
      <c r="M14" s="8">
        <v>133.09299999999999</v>
      </c>
      <c r="N14" s="8">
        <v>0</v>
      </c>
      <c r="O14" s="8">
        <f t="shared" si="4"/>
        <v>1182.6020000000001</v>
      </c>
      <c r="P14" s="8">
        <f t="shared" si="5"/>
        <v>6346.908184509999</v>
      </c>
      <c r="Q14" s="8">
        <f t="shared" si="6"/>
        <v>5474.2111845099989</v>
      </c>
      <c r="R14" s="8">
        <v>186.43299999999999</v>
      </c>
      <c r="S14" s="8">
        <f>13.113+3.908</f>
        <v>17.021000000000001</v>
      </c>
      <c r="T14" s="8">
        <v>19.033999999999999</v>
      </c>
      <c r="U14" s="8">
        <f t="shared" si="7"/>
        <v>36.055</v>
      </c>
      <c r="V14" s="8">
        <f t="shared" si="8"/>
        <v>150.37799999999999</v>
      </c>
      <c r="W14" s="8">
        <v>195.91200000000001</v>
      </c>
      <c r="X14" s="8">
        <v>108.795</v>
      </c>
      <c r="Y14" s="10">
        <f>SUMIF('10 YR UST'!$A$2:$A$27,A14,'10 YR UST'!$B$2:$B$27)/100</f>
        <v>1.9199999999999998E-2</v>
      </c>
      <c r="Z14" s="10">
        <f t="shared" si="9"/>
        <v>4.3534308773900882E-2</v>
      </c>
      <c r="AA14" s="10">
        <f t="shared" si="10"/>
        <v>4.750036437049783E-2</v>
      </c>
      <c r="AB14" s="11">
        <f t="shared" si="11"/>
        <v>22.970388830418432</v>
      </c>
      <c r="AC14" s="11">
        <f t="shared" si="12"/>
        <v>21.052470086336719</v>
      </c>
      <c r="AD14" s="10">
        <v>0.17299999999999999</v>
      </c>
      <c r="AE14" s="10">
        <v>0.97599999999999998</v>
      </c>
      <c r="AF14" s="12">
        <f>WALT_Calc_EGP!H11</f>
        <v>3.9763341528222704</v>
      </c>
      <c r="AG14" s="12">
        <f>WALT_Calc_EGP!I11</f>
        <v>3.9124379984682562</v>
      </c>
    </row>
    <row r="15" spans="1:33" ht="15" customHeight="1" x14ac:dyDescent="0.25">
      <c r="A15" s="7">
        <v>2018</v>
      </c>
      <c r="B15" s="8">
        <v>213.179</v>
      </c>
      <c r="C15" s="9">
        <v>35.106000000000002</v>
      </c>
      <c r="D15" s="8">
        <f t="shared" si="0"/>
        <v>178.07300000000001</v>
      </c>
      <c r="E15" s="9">
        <v>91.73</v>
      </c>
      <c r="F15" s="9">
        <v>36.501356000000001</v>
      </c>
      <c r="G15" s="8">
        <f t="shared" si="1"/>
        <v>3348.2693858800003</v>
      </c>
      <c r="H15" s="8">
        <v>380.68400000000003</v>
      </c>
      <c r="I15" s="8">
        <v>263.66399999999999</v>
      </c>
      <c r="J15" s="8">
        <f t="shared" si="2"/>
        <v>644.34799999999996</v>
      </c>
      <c r="K15" s="8">
        <f t="shared" si="3"/>
        <v>2703.9213858800003</v>
      </c>
      <c r="L15" s="8">
        <f>193.926+723.4</f>
        <v>917.32600000000002</v>
      </c>
      <c r="M15" s="8">
        <v>188.46100000000001</v>
      </c>
      <c r="N15" s="8">
        <v>0</v>
      </c>
      <c r="O15" s="8">
        <f t="shared" si="4"/>
        <v>1105.787</v>
      </c>
      <c r="P15" s="8">
        <f t="shared" si="5"/>
        <v>4454.0563858800006</v>
      </c>
      <c r="Q15" s="8">
        <f t="shared" si="6"/>
        <v>3809.7083858800006</v>
      </c>
      <c r="R15" s="8">
        <v>164.125</v>
      </c>
      <c r="S15" s="8">
        <f>12.896+2.926</f>
        <v>15.822000000000001</v>
      </c>
      <c r="T15" s="8">
        <v>15.760999999999999</v>
      </c>
      <c r="U15" s="8">
        <f t="shared" si="7"/>
        <v>31.582999999999998</v>
      </c>
      <c r="V15" s="8">
        <f t="shared" si="8"/>
        <v>132.542</v>
      </c>
      <c r="W15" s="8">
        <v>164.73099999999999</v>
      </c>
      <c r="X15" s="8">
        <v>71.293999999999997</v>
      </c>
      <c r="Y15" s="10">
        <f>SUMIF('10 YR UST'!$A$2:$A$27,A15,'10 YR UST'!$B$2:$B$27)/100</f>
        <v>2.69E-2</v>
      </c>
      <c r="Z15" s="10">
        <f t="shared" si="9"/>
        <v>5.5956776321807108E-2</v>
      </c>
      <c r="AA15" s="10">
        <f t="shared" si="10"/>
        <v>6.5857314095707539E-2</v>
      </c>
      <c r="AB15" s="11">
        <f t="shared" si="11"/>
        <v>17.870936564483372</v>
      </c>
      <c r="AC15" s="11">
        <f t="shared" si="12"/>
        <v>15.184342297147801</v>
      </c>
      <c r="AD15" s="10">
        <v>0.158</v>
      </c>
      <c r="AE15" s="10">
        <v>0.97299999999999998</v>
      </c>
      <c r="AF15" s="12">
        <f>WALT_Calc_EGP!H10</f>
        <v>4.1461242239279068</v>
      </c>
      <c r="AG15" s="12">
        <f>WALT_Calc_EGP!I10</f>
        <v>4.0798275892278308</v>
      </c>
    </row>
    <row r="16" spans="1:33" ht="15" customHeight="1" x14ac:dyDescent="0.25">
      <c r="A16" s="7">
        <v>2017</v>
      </c>
      <c r="B16" s="8">
        <v>194.18700000000001</v>
      </c>
      <c r="C16" s="9">
        <v>34.774999999999999</v>
      </c>
      <c r="D16" s="8">
        <f t="shared" si="0"/>
        <v>159.41200000000001</v>
      </c>
      <c r="E16" s="9">
        <v>88.38</v>
      </c>
      <c r="F16" s="9">
        <v>34.758167</v>
      </c>
      <c r="G16" s="8">
        <f t="shared" si="1"/>
        <v>3071.92679946</v>
      </c>
      <c r="H16" s="8">
        <v>345.42399999999998</v>
      </c>
      <c r="I16" s="8">
        <v>242.01400000000001</v>
      </c>
      <c r="J16" s="8">
        <f t="shared" si="2"/>
        <v>587.43799999999999</v>
      </c>
      <c r="K16" s="8">
        <f t="shared" si="3"/>
        <v>2484.4887994599999</v>
      </c>
      <c r="L16" s="8">
        <f>195.709+713.061</f>
        <v>908.77</v>
      </c>
      <c r="M16" s="8">
        <v>199.512</v>
      </c>
      <c r="N16" s="8">
        <v>0</v>
      </c>
      <c r="O16" s="8">
        <f t="shared" si="4"/>
        <v>1108.2819999999999</v>
      </c>
      <c r="P16" s="8">
        <f t="shared" si="5"/>
        <v>4180.2087994599997</v>
      </c>
      <c r="Q16" s="8">
        <f t="shared" si="6"/>
        <v>3592.7707994599996</v>
      </c>
      <c r="R16" s="8">
        <v>145.102</v>
      </c>
      <c r="S16" s="8">
        <f>11.413+3.357</f>
        <v>14.77</v>
      </c>
      <c r="T16" s="8">
        <v>16.260000000000002</v>
      </c>
      <c r="U16" s="8">
        <f t="shared" si="7"/>
        <v>31.03</v>
      </c>
      <c r="V16" s="8">
        <f t="shared" si="8"/>
        <v>114.072</v>
      </c>
      <c r="W16" s="8">
        <v>155.01400000000001</v>
      </c>
      <c r="X16" s="8">
        <v>86.724999999999994</v>
      </c>
      <c r="Y16" s="10">
        <f>SUMIF('10 YR UST'!$A$2:$A$27,A16,'10 YR UST'!$B$2:$B$27)/100</f>
        <v>2.4E-2</v>
      </c>
      <c r="Z16" s="10">
        <f t="shared" si="9"/>
        <v>5.4049370482855935E-2</v>
      </c>
      <c r="AA16" s="10">
        <f t="shared" si="10"/>
        <v>6.4162897427691351E-2</v>
      </c>
      <c r="AB16" s="11">
        <f t="shared" si="11"/>
        <v>18.501603091144101</v>
      </c>
      <c r="AC16" s="11">
        <f t="shared" si="12"/>
        <v>15.585331088374776</v>
      </c>
      <c r="AD16" s="10">
        <v>0.16800000000000001</v>
      </c>
      <c r="AE16" s="10">
        <v>0.97</v>
      </c>
      <c r="AF16" s="12">
        <f>WALT_Calc_EGP!H9</f>
        <v>4.1507766096874041</v>
      </c>
      <c r="AG16" s="12">
        <f>WALT_Calc_EGP!I9</f>
        <v>4.0976816163602967</v>
      </c>
    </row>
    <row r="17" spans="1:33" ht="15" customHeight="1" x14ac:dyDescent="0.25">
      <c r="A17" s="7">
        <v>2016</v>
      </c>
      <c r="B17" s="8">
        <v>178.697</v>
      </c>
      <c r="C17" s="9">
        <v>35.213000000000001</v>
      </c>
      <c r="D17" s="8">
        <f t="shared" si="0"/>
        <v>143.48400000000001</v>
      </c>
      <c r="E17" s="9">
        <v>73.84</v>
      </c>
      <c r="F17" s="9">
        <v>33.332213000000003</v>
      </c>
      <c r="G17" s="8">
        <f t="shared" si="1"/>
        <v>2461.2506079200002</v>
      </c>
      <c r="H17" s="8">
        <v>308.93099999999998</v>
      </c>
      <c r="I17" s="8">
        <v>293.90800000000002</v>
      </c>
      <c r="J17" s="8">
        <f t="shared" si="2"/>
        <v>602.83899999999994</v>
      </c>
      <c r="K17" s="8">
        <f t="shared" si="3"/>
        <v>1858.4116079200003</v>
      </c>
      <c r="L17" s="8">
        <f>190.99+652.838</f>
        <v>843.82799999999997</v>
      </c>
      <c r="M17" s="8">
        <v>257.505</v>
      </c>
      <c r="N17" s="8">
        <v>0</v>
      </c>
      <c r="O17" s="8">
        <f t="shared" si="4"/>
        <v>1101.3330000000001</v>
      </c>
      <c r="P17" s="8">
        <f t="shared" si="5"/>
        <v>3562.5836079200003</v>
      </c>
      <c r="Q17" s="8">
        <f t="shared" si="6"/>
        <v>2959.7446079200004</v>
      </c>
      <c r="R17" s="8">
        <v>131.184</v>
      </c>
      <c r="S17" s="8">
        <f>9.976+2.748</f>
        <v>12.724</v>
      </c>
      <c r="T17" s="8">
        <v>14.468</v>
      </c>
      <c r="U17" s="8">
        <f t="shared" si="7"/>
        <v>27.192</v>
      </c>
      <c r="V17" s="8">
        <f t="shared" si="8"/>
        <v>103.99199999999999</v>
      </c>
      <c r="W17" s="8">
        <v>138.864</v>
      </c>
      <c r="X17" s="8">
        <v>80.899000000000001</v>
      </c>
      <c r="Y17" s="10">
        <f>SUMIF('10 YR UST'!$A$2:$A$27,A17,'10 YR UST'!$B$2:$B$27)/100</f>
        <v>2.4500000000000001E-2</v>
      </c>
      <c r="Z17" s="10">
        <f t="shared" si="9"/>
        <v>6.0375817400536352E-2</v>
      </c>
      <c r="AA17" s="10">
        <f t="shared" si="10"/>
        <v>7.7207869014869299E-2</v>
      </c>
      <c r="AB17" s="11">
        <f t="shared" si="11"/>
        <v>16.562922757069231</v>
      </c>
      <c r="AC17" s="11">
        <f t="shared" si="12"/>
        <v>12.952047670262887</v>
      </c>
      <c r="AD17" s="10">
        <v>0.11899999999999999</v>
      </c>
      <c r="AE17" s="10">
        <v>0.97299999999999998</v>
      </c>
      <c r="AF17" s="12">
        <f>WALT_Calc_EGP!H8</f>
        <v>4.0686959611512492</v>
      </c>
      <c r="AG17" s="12">
        <f>WALT_Calc_EGP!I8</f>
        <v>3.982370250911071</v>
      </c>
    </row>
  </sheetData>
  <pageMargins left="0.7" right="0.7" top="0.75" bottom="0.75"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7"/>
  <sheetViews>
    <sheetView zoomScaleNormal="100" workbookViewId="0">
      <selection activeCell="A5" sqref="A5"/>
    </sheetView>
  </sheetViews>
  <sheetFormatPr defaultColWidth="8.7109375" defaultRowHeight="15" x14ac:dyDescent="0.25"/>
  <cols>
    <col min="1" max="33" width="12.7109375" customWidth="1"/>
  </cols>
  <sheetData>
    <row r="1" spans="1:33" ht="31.5" customHeight="1" x14ac:dyDescent="0.25">
      <c r="A1" s="3" t="s">
        <v>501</v>
      </c>
    </row>
    <row r="3" spans="1:33" ht="15" customHeight="1" x14ac:dyDescent="0.25">
      <c r="A3" t="s">
        <v>461</v>
      </c>
    </row>
    <row r="4" spans="1:33" ht="18" customHeight="1" x14ac:dyDescent="0.25">
      <c r="A4" s="4" t="s">
        <v>462</v>
      </c>
      <c r="Q4" s="5"/>
      <c r="R4" s="5"/>
      <c r="S4" s="5"/>
    </row>
    <row r="6" spans="1:33" ht="15" customHeight="1" x14ac:dyDescent="0.25">
      <c r="A6" s="2"/>
      <c r="B6" s="2" t="s">
        <v>463</v>
      </c>
      <c r="C6" s="2" t="s">
        <v>463</v>
      </c>
      <c r="D6" s="2" t="s">
        <v>464</v>
      </c>
      <c r="E6" s="2" t="s">
        <v>465</v>
      </c>
      <c r="F6" s="2" t="s">
        <v>463</v>
      </c>
      <c r="G6" s="2" t="s">
        <v>464</v>
      </c>
      <c r="H6" s="2" t="s">
        <v>463</v>
      </c>
      <c r="I6" s="2" t="s">
        <v>463</v>
      </c>
      <c r="J6" s="2" t="s">
        <v>464</v>
      </c>
      <c r="K6" s="2" t="s">
        <v>464</v>
      </c>
      <c r="L6" s="2" t="s">
        <v>463</v>
      </c>
      <c r="M6" s="2" t="s">
        <v>463</v>
      </c>
      <c r="N6" s="2" t="s">
        <v>463</v>
      </c>
      <c r="O6" s="2" t="s">
        <v>464</v>
      </c>
      <c r="P6" s="2" t="s">
        <v>464</v>
      </c>
      <c r="Q6" s="2" t="s">
        <v>464</v>
      </c>
      <c r="R6" s="2" t="s">
        <v>463</v>
      </c>
      <c r="S6" s="2" t="s">
        <v>465</v>
      </c>
      <c r="T6" s="2" t="s">
        <v>465</v>
      </c>
      <c r="U6" s="2" t="s">
        <v>464</v>
      </c>
      <c r="V6" s="2" t="s">
        <v>464</v>
      </c>
      <c r="W6" s="2" t="s">
        <v>463</v>
      </c>
      <c r="X6" s="2" t="s">
        <v>463</v>
      </c>
      <c r="Y6" s="2" t="s">
        <v>466</v>
      </c>
      <c r="Z6" s="2" t="s">
        <v>464</v>
      </c>
      <c r="AA6" s="2" t="s">
        <v>464</v>
      </c>
      <c r="AB6" s="2" t="s">
        <v>464</v>
      </c>
      <c r="AC6" s="2" t="s">
        <v>464</v>
      </c>
      <c r="AD6" s="2" t="s">
        <v>465</v>
      </c>
      <c r="AE6" s="2" t="s">
        <v>465</v>
      </c>
      <c r="AF6" s="2" t="s">
        <v>467</v>
      </c>
      <c r="AG6" s="2" t="s">
        <v>467</v>
      </c>
    </row>
    <row r="7" spans="1:33" ht="75" customHeight="1" x14ac:dyDescent="0.25">
      <c r="A7" s="6" t="s">
        <v>468</v>
      </c>
      <c r="B7" s="6" t="s">
        <v>469</v>
      </c>
      <c r="C7" s="6" t="s">
        <v>470</v>
      </c>
      <c r="D7" s="6" t="s">
        <v>471</v>
      </c>
      <c r="E7" s="6" t="s">
        <v>472</v>
      </c>
      <c r="F7" s="6" t="s">
        <v>473</v>
      </c>
      <c r="G7" s="6" t="s">
        <v>474</v>
      </c>
      <c r="H7" s="6" t="s">
        <v>475</v>
      </c>
      <c r="I7" s="6" t="s">
        <v>476</v>
      </c>
      <c r="J7" s="6" t="s">
        <v>477</v>
      </c>
      <c r="K7" s="6" t="s">
        <v>478</v>
      </c>
      <c r="L7" s="6" t="s">
        <v>479</v>
      </c>
      <c r="M7" s="6" t="s">
        <v>480</v>
      </c>
      <c r="N7" s="6" t="s">
        <v>481</v>
      </c>
      <c r="O7" s="6" t="s">
        <v>482</v>
      </c>
      <c r="P7" s="6" t="s">
        <v>483</v>
      </c>
      <c r="Q7" s="6" t="s">
        <v>484</v>
      </c>
      <c r="R7" s="6" t="s">
        <v>485</v>
      </c>
      <c r="S7" s="6" t="s">
        <v>486</v>
      </c>
      <c r="T7" s="6" t="s">
        <v>487</v>
      </c>
      <c r="U7" s="6" t="s">
        <v>488</v>
      </c>
      <c r="V7" s="6" t="s">
        <v>489</v>
      </c>
      <c r="W7" s="6" t="s">
        <v>490</v>
      </c>
      <c r="X7" s="6" t="s">
        <v>491</v>
      </c>
      <c r="Y7" s="6" t="s">
        <v>492</v>
      </c>
      <c r="Z7" s="6" t="s">
        <v>493</v>
      </c>
      <c r="AA7" s="6" t="s">
        <v>494</v>
      </c>
      <c r="AB7" s="6" t="s">
        <v>495</v>
      </c>
      <c r="AC7" s="6" t="s">
        <v>496</v>
      </c>
      <c r="AD7" s="6" t="s">
        <v>497</v>
      </c>
      <c r="AE7" s="6" t="s">
        <v>498</v>
      </c>
      <c r="AF7" s="6" t="s">
        <v>499</v>
      </c>
      <c r="AG7" s="6" t="s">
        <v>500</v>
      </c>
    </row>
    <row r="8" spans="1:33" ht="15" customHeight="1" x14ac:dyDescent="0.25">
      <c r="A8" s="7">
        <v>2025</v>
      </c>
      <c r="B8" s="8">
        <v>534.96699999999998</v>
      </c>
      <c r="C8" s="9">
        <v>84.885999999999996</v>
      </c>
      <c r="D8" s="8">
        <f t="shared" ref="D8:D17" si="0">B8-C8</f>
        <v>450.08100000000002</v>
      </c>
      <c r="E8" s="9">
        <v>57.27</v>
      </c>
      <c r="F8" s="9">
        <v>136.50141400000001</v>
      </c>
      <c r="G8" s="8">
        <f t="shared" ref="G8:G17" si="1">E8*F8</f>
        <v>7817.4359797800007</v>
      </c>
      <c r="H8" s="8">
        <v>1872.086</v>
      </c>
      <c r="I8" s="8">
        <v>221.05199999999999</v>
      </c>
      <c r="J8" s="8">
        <f t="shared" ref="J8:J17" si="2">H8+I8</f>
        <v>2093.1379999999999</v>
      </c>
      <c r="K8" s="8">
        <f t="shared" ref="K8:K17" si="3">G8-J8</f>
        <v>5724.2979797800008</v>
      </c>
      <c r="L8" s="8">
        <f>1438.607+922.494+183</f>
        <v>2544.1010000000001</v>
      </c>
      <c r="M8" s="8">
        <v>9.2949999999999999</v>
      </c>
      <c r="N8" s="8">
        <v>0</v>
      </c>
      <c r="O8" s="8">
        <f t="shared" ref="O8:O17" si="4">SUM(L8:N8)</f>
        <v>2553.3960000000002</v>
      </c>
      <c r="P8" s="8">
        <f t="shared" ref="P8:P17" si="5">G8+O8</f>
        <v>10370.831979780001</v>
      </c>
      <c r="Q8" s="8">
        <f t="shared" ref="Q8:Q17" si="6">K8+O8</f>
        <v>8277.6939797800005</v>
      </c>
      <c r="R8" s="8">
        <v>403.82299999999998</v>
      </c>
      <c r="S8" s="8">
        <v>22.042000000000002</v>
      </c>
      <c r="T8" s="8">
        <v>34.64</v>
      </c>
      <c r="U8" s="8">
        <f t="shared" ref="U8:U17" si="7">S8+T8</f>
        <v>56.682000000000002</v>
      </c>
      <c r="V8" s="8">
        <f t="shared" ref="V8:V17" si="8">R8-U8</f>
        <v>347.14099999999996</v>
      </c>
      <c r="W8" s="8">
        <v>461.26299999999998</v>
      </c>
      <c r="X8" s="8">
        <v>231.22</v>
      </c>
      <c r="Y8" s="10">
        <f>SUMIF('10 YR UST'!$A$2:$A$27,A8,'10 YR UST'!$B$2:$B$27)/100</f>
        <v>4.1799999999999997E-2</v>
      </c>
      <c r="Z8" s="10">
        <f t="shared" ref="Z8:Z17" si="9">B8/Q8</f>
        <v>6.4627540146660264E-2</v>
      </c>
      <c r="AA8" s="10">
        <f t="shared" ref="AA8:AA17" si="10">D8/K8</f>
        <v>7.862641001391367E-2</v>
      </c>
      <c r="AB8" s="11">
        <f t="shared" ref="AB8:AB17" si="11">Q8/B8</f>
        <v>15.473279622444002</v>
      </c>
      <c r="AC8" s="11">
        <f t="shared" ref="AC8:AC17" si="12">K8/D8</f>
        <v>12.718372870172258</v>
      </c>
      <c r="AD8" s="10">
        <v>0.53300000000000003</v>
      </c>
      <c r="AE8" s="10">
        <v>0.94399999999999995</v>
      </c>
      <c r="AF8" s="12">
        <f>WALT_Calc_FR!H17</f>
        <v>5.1346185317416966</v>
      </c>
      <c r="AG8" s="12">
        <f>WALT_Calc_FR!I17</f>
        <v>5.0364461236711975</v>
      </c>
    </row>
    <row r="9" spans="1:33" ht="15" customHeight="1" x14ac:dyDescent="0.25">
      <c r="A9" s="7">
        <v>2024</v>
      </c>
      <c r="B9" s="8">
        <v>485.291</v>
      </c>
      <c r="C9" s="9">
        <v>82.972999999999999</v>
      </c>
      <c r="D9" s="8">
        <f t="shared" si="0"/>
        <v>402.31799999999998</v>
      </c>
      <c r="E9" s="9">
        <v>50.13</v>
      </c>
      <c r="F9" s="9">
        <v>135.98997900000001</v>
      </c>
      <c r="G9" s="8">
        <f t="shared" si="1"/>
        <v>6817.1776472700003</v>
      </c>
      <c r="H9" s="8">
        <v>1795.136</v>
      </c>
      <c r="I9" s="8">
        <v>153.97200000000001</v>
      </c>
      <c r="J9" s="8">
        <f t="shared" si="2"/>
        <v>1949.1079999999999</v>
      </c>
      <c r="K9" s="8">
        <f t="shared" si="3"/>
        <v>4868.0696472700001</v>
      </c>
      <c r="L9" s="8">
        <f>995.184+922.476+282</f>
        <v>2199.66</v>
      </c>
      <c r="M9" s="8">
        <v>9.6430000000000007</v>
      </c>
      <c r="N9" s="8">
        <v>0</v>
      </c>
      <c r="O9" s="8">
        <f t="shared" si="4"/>
        <v>2209.3029999999999</v>
      </c>
      <c r="P9" s="8">
        <f t="shared" si="5"/>
        <v>9026.4806472700002</v>
      </c>
      <c r="Q9" s="8">
        <f t="shared" si="6"/>
        <v>7077.37264727</v>
      </c>
      <c r="R9" s="8">
        <v>360.13299999999998</v>
      </c>
      <c r="S9" s="8">
        <v>19.832999999999998</v>
      </c>
      <c r="T9" s="8">
        <v>32.228000000000002</v>
      </c>
      <c r="U9" s="8">
        <f t="shared" si="7"/>
        <v>52.061</v>
      </c>
      <c r="V9" s="8">
        <f t="shared" si="8"/>
        <v>308.072</v>
      </c>
      <c r="W9" s="8">
        <v>352.488</v>
      </c>
      <c r="X9" s="8">
        <v>193.482</v>
      </c>
      <c r="Y9" s="10">
        <f>SUMIF('10 YR UST'!$A$2:$A$27,A9,'10 YR UST'!$B$2:$B$27)/100</f>
        <v>4.58E-2</v>
      </c>
      <c r="Z9" s="10">
        <f t="shared" si="9"/>
        <v>6.8569372306147305E-2</v>
      </c>
      <c r="AA9" s="10">
        <f t="shared" si="10"/>
        <v>8.2644257200719953E-2</v>
      </c>
      <c r="AB9" s="11">
        <f t="shared" si="11"/>
        <v>14.5837706598103</v>
      </c>
      <c r="AC9" s="11">
        <f t="shared" si="12"/>
        <v>12.100054303486298</v>
      </c>
      <c r="AD9" s="10">
        <v>0.70099999999999996</v>
      </c>
      <c r="AE9" s="10">
        <v>0.96199999999999997</v>
      </c>
      <c r="AF9" s="12">
        <f>WALT_Calc_FR!H16</f>
        <v>5.285025175820075</v>
      </c>
      <c r="AG9" s="12">
        <f>WALT_Calc_FR!I16</f>
        <v>5.2665495624452312</v>
      </c>
    </row>
    <row r="10" spans="1:33" ht="15" customHeight="1" x14ac:dyDescent="0.25">
      <c r="A10" s="7">
        <v>2023</v>
      </c>
      <c r="B10" s="8">
        <v>444.70499999999998</v>
      </c>
      <c r="C10" s="9">
        <v>74.334999999999994</v>
      </c>
      <c r="D10" s="8">
        <f t="shared" si="0"/>
        <v>370.37</v>
      </c>
      <c r="E10" s="9">
        <v>52.67</v>
      </c>
      <c r="F10" s="9">
        <v>135.667204</v>
      </c>
      <c r="G10" s="8">
        <f t="shared" si="1"/>
        <v>7145.5916346800004</v>
      </c>
      <c r="H10" s="8">
        <v>1756.971</v>
      </c>
      <c r="I10" s="8">
        <v>245.39099999999999</v>
      </c>
      <c r="J10" s="8">
        <f t="shared" si="2"/>
        <v>2002.3620000000001</v>
      </c>
      <c r="K10" s="8">
        <f t="shared" si="3"/>
        <v>5143.2296346800003</v>
      </c>
      <c r="L10" s="8">
        <f>994.463+920.863+299</f>
        <v>2214.326</v>
      </c>
      <c r="M10" s="8">
        <v>9.9779999999999998</v>
      </c>
      <c r="N10" s="8">
        <v>0</v>
      </c>
      <c r="O10" s="8">
        <f t="shared" si="4"/>
        <v>2224.3040000000001</v>
      </c>
      <c r="P10" s="8">
        <f t="shared" si="5"/>
        <v>9369.8956346800005</v>
      </c>
      <c r="Q10" s="8">
        <f t="shared" si="6"/>
        <v>7367.5336346800004</v>
      </c>
      <c r="R10" s="8">
        <v>331.06099999999998</v>
      </c>
      <c r="S10" s="8">
        <v>19.036000000000001</v>
      </c>
      <c r="T10" s="8">
        <v>35.406999999999996</v>
      </c>
      <c r="U10" s="8">
        <f t="shared" si="7"/>
        <v>54.442999999999998</v>
      </c>
      <c r="V10" s="8">
        <f t="shared" si="8"/>
        <v>276.61799999999999</v>
      </c>
      <c r="W10" s="8">
        <v>304.815</v>
      </c>
      <c r="X10" s="8">
        <v>169.36799999999999</v>
      </c>
      <c r="Y10" s="10">
        <f>SUMIF('10 YR UST'!$A$2:$A$27,A10,'10 YR UST'!$B$2:$B$27)/100</f>
        <v>3.8800000000000001E-2</v>
      </c>
      <c r="Z10" s="10">
        <f t="shared" si="9"/>
        <v>6.0360090913832008E-2</v>
      </c>
      <c r="AA10" s="10">
        <f t="shared" si="10"/>
        <v>7.2011173194105993E-2</v>
      </c>
      <c r="AB10" s="11">
        <f t="shared" si="11"/>
        <v>16.567238134673548</v>
      </c>
      <c r="AC10" s="11">
        <f t="shared" si="12"/>
        <v>13.886733900369901</v>
      </c>
      <c r="AD10" s="10">
        <v>0.84199999999999997</v>
      </c>
      <c r="AE10" s="10">
        <v>0.95499999999999996</v>
      </c>
      <c r="AF10" s="12">
        <f>WALT_Calc_FR!H15</f>
        <v>5.306703827440943</v>
      </c>
      <c r="AG10" s="12">
        <f>WALT_Calc_FR!I15</f>
        <v>5.2656525841945809</v>
      </c>
    </row>
    <row r="11" spans="1:33" ht="15" customHeight="1" x14ac:dyDescent="0.25">
      <c r="A11" s="7">
        <v>2022</v>
      </c>
      <c r="B11" s="8">
        <v>395.35700000000003</v>
      </c>
      <c r="C11" s="9">
        <v>49.012999999999998</v>
      </c>
      <c r="D11" s="8">
        <f t="shared" si="0"/>
        <v>346.34400000000005</v>
      </c>
      <c r="E11" s="9">
        <v>48.26</v>
      </c>
      <c r="F11" s="9">
        <v>135.19726900000001</v>
      </c>
      <c r="G11" s="8">
        <f t="shared" si="1"/>
        <v>6524.6202019399998</v>
      </c>
      <c r="H11" s="8">
        <v>1646.1790000000001</v>
      </c>
      <c r="I11" s="8">
        <v>253.90299999999999</v>
      </c>
      <c r="J11" s="8">
        <f t="shared" si="2"/>
        <v>1900.0820000000001</v>
      </c>
      <c r="K11" s="8">
        <f t="shared" si="3"/>
        <v>4624.5382019399995</v>
      </c>
      <c r="L11" s="8">
        <f>993.742+919.26+143</f>
        <v>2056.002</v>
      </c>
      <c r="M11" s="8">
        <v>10.298999999999999</v>
      </c>
      <c r="N11" s="8">
        <v>0</v>
      </c>
      <c r="O11" s="8">
        <f t="shared" si="4"/>
        <v>2066.3009999999999</v>
      </c>
      <c r="P11" s="8">
        <f t="shared" si="5"/>
        <v>8590.9212019400002</v>
      </c>
      <c r="Q11" s="8">
        <f t="shared" si="6"/>
        <v>6690.8392019399998</v>
      </c>
      <c r="R11" s="8">
        <v>308.42599999999999</v>
      </c>
      <c r="S11" s="8">
        <v>16.614000000000001</v>
      </c>
      <c r="T11" s="8">
        <v>30.899000000000001</v>
      </c>
      <c r="U11" s="8">
        <f t="shared" si="7"/>
        <v>47.513000000000005</v>
      </c>
      <c r="V11" s="8">
        <f t="shared" si="8"/>
        <v>260.91300000000001</v>
      </c>
      <c r="W11" s="8">
        <v>410.94299999999998</v>
      </c>
      <c r="X11" s="8">
        <v>155.333</v>
      </c>
      <c r="Y11" s="10">
        <f>SUMIF('10 YR UST'!$A$2:$A$27,A11,'10 YR UST'!$B$2:$B$27)/100</f>
        <v>3.8800000000000001E-2</v>
      </c>
      <c r="Z11" s="10">
        <f t="shared" si="9"/>
        <v>5.9089299274352129E-2</v>
      </c>
      <c r="AA11" s="10">
        <f t="shared" si="10"/>
        <v>7.4892667089377335E-2</v>
      </c>
      <c r="AB11" s="11">
        <f t="shared" si="11"/>
        <v>16.923537971858345</v>
      </c>
      <c r="AC11" s="11">
        <f t="shared" si="12"/>
        <v>13.352442086307251</v>
      </c>
      <c r="AD11" s="10">
        <v>0.433</v>
      </c>
      <c r="AE11" s="10">
        <v>0.98799999999999999</v>
      </c>
      <c r="AF11" s="12">
        <f>WALT_Calc_FR!H14</f>
        <v>5.316010726777936</v>
      </c>
      <c r="AG11" s="12">
        <f>WALT_Calc_FR!I14</f>
        <v>5.2920841696143714</v>
      </c>
    </row>
    <row r="12" spans="1:33" ht="15" customHeight="1" x14ac:dyDescent="0.25">
      <c r="A12" s="7">
        <v>2021</v>
      </c>
      <c r="B12" s="8">
        <v>344.99</v>
      </c>
      <c r="C12" s="9">
        <v>44.103000000000002</v>
      </c>
      <c r="D12" s="8">
        <f t="shared" si="0"/>
        <v>300.887</v>
      </c>
      <c r="E12" s="9">
        <v>66.2</v>
      </c>
      <c r="F12" s="9">
        <v>134.682928</v>
      </c>
      <c r="G12" s="8">
        <f t="shared" si="1"/>
        <v>8916.009833600001</v>
      </c>
      <c r="H12" s="8">
        <v>1387.1980000000001</v>
      </c>
      <c r="I12" s="8">
        <v>239.02500000000001</v>
      </c>
      <c r="J12" s="8">
        <f t="shared" si="2"/>
        <v>1626.2230000000002</v>
      </c>
      <c r="K12" s="8">
        <f t="shared" si="3"/>
        <v>7289.786833600001</v>
      </c>
      <c r="L12" s="8">
        <f>993.021+458.325+79</f>
        <v>1530.346</v>
      </c>
      <c r="M12" s="8">
        <v>79.674000000000007</v>
      </c>
      <c r="N12" s="8">
        <v>0</v>
      </c>
      <c r="O12" s="8">
        <f t="shared" si="4"/>
        <v>1610.02</v>
      </c>
      <c r="P12" s="8">
        <f t="shared" si="5"/>
        <v>10526.029833600001</v>
      </c>
      <c r="Q12" s="8">
        <f t="shared" si="6"/>
        <v>8899.8068336000015</v>
      </c>
      <c r="R12" s="8">
        <v>261.77600000000001</v>
      </c>
      <c r="S12" s="8">
        <v>15.44</v>
      </c>
      <c r="T12" s="8">
        <v>30.558</v>
      </c>
      <c r="U12" s="8">
        <f t="shared" si="7"/>
        <v>45.997999999999998</v>
      </c>
      <c r="V12" s="8">
        <f t="shared" si="8"/>
        <v>215.77800000000002</v>
      </c>
      <c r="W12" s="8">
        <v>266.89499999999998</v>
      </c>
      <c r="X12" s="8">
        <v>139.71</v>
      </c>
      <c r="Y12" s="10">
        <f>SUMIF('10 YR UST'!$A$2:$A$27,A12,'10 YR UST'!$B$2:$B$27)/100</f>
        <v>1.52E-2</v>
      </c>
      <c r="Z12" s="10">
        <f t="shared" si="9"/>
        <v>3.8763762680504202E-2</v>
      </c>
      <c r="AA12" s="10">
        <f t="shared" si="10"/>
        <v>4.127514382356904E-2</v>
      </c>
      <c r="AB12" s="11">
        <f t="shared" si="11"/>
        <v>25.797289294182445</v>
      </c>
      <c r="AC12" s="11">
        <f t="shared" si="12"/>
        <v>24.227656341417212</v>
      </c>
      <c r="AD12" s="10">
        <v>0.29299999999999998</v>
      </c>
      <c r="AE12" s="10">
        <v>0.98099999999999998</v>
      </c>
      <c r="AF12" s="12">
        <f>WALT_Calc_FR!H13</f>
        <v>5.2246190663975138</v>
      </c>
      <c r="AG12" s="12">
        <f>WALT_Calc_FR!I13</f>
        <v>5.2327953285723838</v>
      </c>
    </row>
    <row r="13" spans="1:33" ht="15" customHeight="1" x14ac:dyDescent="0.25">
      <c r="A13" s="7">
        <v>2020</v>
      </c>
      <c r="B13" s="8">
        <v>328.83300000000003</v>
      </c>
      <c r="C13" s="9">
        <v>51.292999999999999</v>
      </c>
      <c r="D13" s="8">
        <f t="shared" si="0"/>
        <v>277.54000000000002</v>
      </c>
      <c r="E13" s="9">
        <v>42.13</v>
      </c>
      <c r="F13" s="9">
        <v>131.764554</v>
      </c>
      <c r="G13" s="8">
        <f t="shared" si="1"/>
        <v>5551.2406600200002</v>
      </c>
      <c r="H13" s="8">
        <v>1087.9069999999999</v>
      </c>
      <c r="I13" s="8">
        <v>77.573999999999998</v>
      </c>
      <c r="J13" s="8">
        <f t="shared" si="2"/>
        <v>1165.481</v>
      </c>
      <c r="K13" s="8">
        <f t="shared" si="3"/>
        <v>4385.7596600200004</v>
      </c>
      <c r="L13" s="8">
        <f>992.3+458.462+0</f>
        <v>1450.7619999999999</v>
      </c>
      <c r="M13" s="8">
        <v>143.87899999999999</v>
      </c>
      <c r="N13" s="8">
        <v>0</v>
      </c>
      <c r="O13" s="8">
        <f t="shared" si="4"/>
        <v>1594.6409999999998</v>
      </c>
      <c r="P13" s="8">
        <f t="shared" si="5"/>
        <v>7145.8816600199998</v>
      </c>
      <c r="Q13" s="8">
        <f t="shared" si="6"/>
        <v>5980.40066002</v>
      </c>
      <c r="R13" s="8">
        <v>239.98699999999999</v>
      </c>
      <c r="S13" s="8">
        <v>15.935</v>
      </c>
      <c r="T13" s="8">
        <v>27.347000000000001</v>
      </c>
      <c r="U13" s="8">
        <f t="shared" si="7"/>
        <v>43.282000000000004</v>
      </c>
      <c r="V13" s="8">
        <f t="shared" si="8"/>
        <v>196.70499999999998</v>
      </c>
      <c r="W13" s="8">
        <v>240.43</v>
      </c>
      <c r="X13" s="8">
        <v>127.33799999999999</v>
      </c>
      <c r="Y13" s="10">
        <f>SUMIF('10 YR UST'!$A$2:$A$27,A13,'10 YR UST'!$B$2:$B$27)/100</f>
        <v>9.300000000000001E-3</v>
      </c>
      <c r="Z13" s="10">
        <f t="shared" si="9"/>
        <v>5.4985111983935256E-2</v>
      </c>
      <c r="AA13" s="10">
        <f t="shared" si="10"/>
        <v>6.3282081444183458E-2</v>
      </c>
      <c r="AB13" s="11">
        <f t="shared" si="11"/>
        <v>18.186741172631699</v>
      </c>
      <c r="AC13" s="11">
        <f t="shared" si="12"/>
        <v>15.80226151192621</v>
      </c>
      <c r="AD13" s="10">
        <v>0.29699999999999999</v>
      </c>
      <c r="AE13" s="10">
        <v>0.95699999999999996</v>
      </c>
      <c r="AF13" s="12">
        <f>WALT_Calc_FR!H12</f>
        <v>5.218821661923668</v>
      </c>
      <c r="AG13" s="12">
        <f>WALT_Calc_FR!I12</f>
        <v>5.1726187547661802</v>
      </c>
    </row>
    <row r="14" spans="1:33" ht="15" customHeight="1" x14ac:dyDescent="0.25">
      <c r="A14" s="7">
        <v>2019</v>
      </c>
      <c r="B14" s="8">
        <v>309.399</v>
      </c>
      <c r="C14" s="9">
        <v>50.273000000000003</v>
      </c>
      <c r="D14" s="8">
        <f t="shared" si="0"/>
        <v>259.12599999999998</v>
      </c>
      <c r="E14" s="9">
        <v>41.51</v>
      </c>
      <c r="F14" s="9">
        <v>129.41722200000001</v>
      </c>
      <c r="G14" s="8">
        <f t="shared" si="1"/>
        <v>5372.10888522</v>
      </c>
      <c r="H14" s="8">
        <v>957.47799999999995</v>
      </c>
      <c r="I14" s="8">
        <v>90.301000000000002</v>
      </c>
      <c r="J14" s="8">
        <f t="shared" si="2"/>
        <v>1047.779</v>
      </c>
      <c r="K14" s="8">
        <f t="shared" si="3"/>
        <v>4324.3298852200005</v>
      </c>
      <c r="L14" s="8">
        <f>694.015+457.865+158</f>
        <v>1309.8800000000001</v>
      </c>
      <c r="M14" s="8">
        <v>173.685</v>
      </c>
      <c r="N14" s="8">
        <v>0</v>
      </c>
      <c r="O14" s="8">
        <f t="shared" si="4"/>
        <v>1483.5650000000001</v>
      </c>
      <c r="P14" s="8">
        <f t="shared" si="5"/>
        <v>6855.6738852199996</v>
      </c>
      <c r="Q14" s="8">
        <f t="shared" si="6"/>
        <v>5807.894885220001</v>
      </c>
      <c r="R14" s="8">
        <v>225.83600000000001</v>
      </c>
      <c r="S14" s="8">
        <v>13.808999999999999</v>
      </c>
      <c r="T14" s="8">
        <v>20.138999999999999</v>
      </c>
      <c r="U14" s="8">
        <f t="shared" si="7"/>
        <v>33.948</v>
      </c>
      <c r="V14" s="8">
        <f t="shared" si="8"/>
        <v>191.88800000000001</v>
      </c>
      <c r="W14" s="8">
        <v>245.53299999999999</v>
      </c>
      <c r="X14" s="8">
        <v>117.214</v>
      </c>
      <c r="Y14" s="10">
        <f>SUMIF('10 YR UST'!$A$2:$A$27,A14,'10 YR UST'!$B$2:$B$27)/100</f>
        <v>1.9199999999999998E-2</v>
      </c>
      <c r="Z14" s="10">
        <f t="shared" si="9"/>
        <v>5.3272141819811894E-2</v>
      </c>
      <c r="AA14" s="10">
        <f t="shared" si="10"/>
        <v>5.9922810441834951E-2</v>
      </c>
      <c r="AB14" s="11">
        <f t="shared" si="11"/>
        <v>18.771537352156926</v>
      </c>
      <c r="AC14" s="11">
        <f t="shared" si="12"/>
        <v>16.688135830522608</v>
      </c>
      <c r="AD14" s="10">
        <v>0.26</v>
      </c>
      <c r="AE14" s="10">
        <v>0.97599999999999998</v>
      </c>
      <c r="AF14" s="12">
        <f>WALT_Calc_FR!H11</f>
        <v>5.268122455756548</v>
      </c>
      <c r="AG14" s="12">
        <f>WALT_Calc_FR!I11</f>
        <v>5.128238228530468</v>
      </c>
    </row>
    <row r="15" spans="1:33" ht="15" customHeight="1" x14ac:dyDescent="0.25">
      <c r="A15" s="7">
        <v>2018</v>
      </c>
      <c r="B15" s="8">
        <v>287.10000000000002</v>
      </c>
      <c r="C15" s="9">
        <v>50.774999999999999</v>
      </c>
      <c r="D15" s="8">
        <f t="shared" si="0"/>
        <v>236.32500000000002</v>
      </c>
      <c r="E15" s="9">
        <v>28.86</v>
      </c>
      <c r="F15" s="9">
        <v>128.93159800000001</v>
      </c>
      <c r="G15" s="8">
        <f t="shared" si="1"/>
        <v>3720.9659182800001</v>
      </c>
      <c r="H15" s="8">
        <v>909.31799999999998</v>
      </c>
      <c r="I15" s="8">
        <v>59.475999999999999</v>
      </c>
      <c r="J15" s="8">
        <f t="shared" si="2"/>
        <v>968.79399999999998</v>
      </c>
      <c r="K15" s="8">
        <f t="shared" si="3"/>
        <v>2752.1719182800002</v>
      </c>
      <c r="L15" s="8">
        <f>544.504+456.809+144.5</f>
        <v>1145.8130000000001</v>
      </c>
      <c r="M15" s="8">
        <v>296.47000000000003</v>
      </c>
      <c r="N15" s="8">
        <v>0</v>
      </c>
      <c r="O15" s="8">
        <f t="shared" si="4"/>
        <v>1442.2830000000001</v>
      </c>
      <c r="P15" s="8">
        <f t="shared" si="5"/>
        <v>5163.24891828</v>
      </c>
      <c r="Q15" s="8">
        <f t="shared" si="6"/>
        <v>4194.4549182800001</v>
      </c>
      <c r="R15" s="8">
        <v>204.369</v>
      </c>
      <c r="S15" s="8">
        <v>14.065</v>
      </c>
      <c r="T15" s="8">
        <v>24.297000000000001</v>
      </c>
      <c r="U15" s="8">
        <f t="shared" si="7"/>
        <v>38.362000000000002</v>
      </c>
      <c r="V15" s="8">
        <f t="shared" si="8"/>
        <v>166.00700000000001</v>
      </c>
      <c r="W15" s="8">
        <v>210.495</v>
      </c>
      <c r="X15" s="8">
        <v>109.649</v>
      </c>
      <c r="Y15" s="10">
        <f>SUMIF('10 YR UST'!$A$2:$A$27,A15,'10 YR UST'!$B$2:$B$27)/100</f>
        <v>2.69E-2</v>
      </c>
      <c r="Z15" s="10">
        <f t="shared" si="9"/>
        <v>6.8447511200747324E-2</v>
      </c>
      <c r="AA15" s="10">
        <f t="shared" si="10"/>
        <v>8.5868545649464334E-2</v>
      </c>
      <c r="AB15" s="11">
        <f t="shared" si="11"/>
        <v>14.609734999233716</v>
      </c>
      <c r="AC15" s="11">
        <f t="shared" si="12"/>
        <v>11.645707894975141</v>
      </c>
      <c r="AD15" s="10">
        <v>0.20599999999999999</v>
      </c>
      <c r="AE15" s="10">
        <v>0.98499999999999999</v>
      </c>
      <c r="AF15" s="12">
        <f>WALT_Calc_FR!H10</f>
        <v>5.0869947189464879</v>
      </c>
      <c r="AG15" s="12">
        <f>WALT_Calc_FR!I10</f>
        <v>5.0329900165773909</v>
      </c>
    </row>
    <row r="16" spans="1:33" ht="15" customHeight="1" x14ac:dyDescent="0.25">
      <c r="A16" s="7">
        <v>2017</v>
      </c>
      <c r="B16" s="8">
        <v>282.90800000000002</v>
      </c>
      <c r="C16" s="9">
        <v>57.198999999999998</v>
      </c>
      <c r="D16" s="8">
        <f t="shared" si="0"/>
        <v>225.709</v>
      </c>
      <c r="E16" s="9">
        <v>31.47</v>
      </c>
      <c r="F16" s="9">
        <v>123.891401</v>
      </c>
      <c r="G16" s="8">
        <f t="shared" si="1"/>
        <v>3898.8623894699999</v>
      </c>
      <c r="H16" s="8">
        <v>864.81299999999999</v>
      </c>
      <c r="I16" s="8">
        <v>109.47499999999999</v>
      </c>
      <c r="J16" s="8">
        <f t="shared" si="2"/>
        <v>974.28800000000001</v>
      </c>
      <c r="K16" s="8">
        <f t="shared" si="3"/>
        <v>2924.5743894699999</v>
      </c>
      <c r="L16" s="8">
        <f>246.673+455.768+144.5</f>
        <v>846.94100000000003</v>
      </c>
      <c r="M16" s="8">
        <v>450.05599999999998</v>
      </c>
      <c r="N16" s="8">
        <v>0</v>
      </c>
      <c r="O16" s="8">
        <f t="shared" si="4"/>
        <v>1296.9970000000001</v>
      </c>
      <c r="P16" s="8">
        <f t="shared" si="5"/>
        <v>5195.8593894699998</v>
      </c>
      <c r="Q16" s="8">
        <f t="shared" si="6"/>
        <v>4221.5713894700002</v>
      </c>
      <c r="R16" s="8">
        <v>192.86</v>
      </c>
      <c r="S16" s="8">
        <v>14.981999999999999</v>
      </c>
      <c r="T16" s="8">
        <v>23.504999999999999</v>
      </c>
      <c r="U16" s="8">
        <f t="shared" si="7"/>
        <v>38.486999999999995</v>
      </c>
      <c r="V16" s="8">
        <f t="shared" si="8"/>
        <v>154.37300000000002</v>
      </c>
      <c r="W16" s="8">
        <v>192.56200000000001</v>
      </c>
      <c r="X16" s="8">
        <v>100.524</v>
      </c>
      <c r="Y16" s="10">
        <f>SUMIF('10 YR UST'!$A$2:$A$27,A16,'10 YR UST'!$B$2:$B$27)/100</f>
        <v>2.4E-2</v>
      </c>
      <c r="Z16" s="10">
        <f t="shared" si="9"/>
        <v>6.7014856293954053E-2</v>
      </c>
      <c r="AA16" s="10">
        <f t="shared" si="10"/>
        <v>7.7176699902957044E-2</v>
      </c>
      <c r="AB16" s="11">
        <f t="shared" si="11"/>
        <v>14.922064379480256</v>
      </c>
      <c r="AC16" s="11">
        <f t="shared" si="12"/>
        <v>12.957278573162789</v>
      </c>
      <c r="AD16" s="10">
        <v>0.182</v>
      </c>
      <c r="AE16" s="10">
        <v>0.97299999999999998</v>
      </c>
      <c r="AF16" s="12">
        <f>WALT_Calc_FR!H9</f>
        <v>4.8079508237324458</v>
      </c>
      <c r="AG16" s="12">
        <f>WALT_Calc_FR!I9</f>
        <v>4.7349328347874255</v>
      </c>
    </row>
    <row r="17" spans="1:33" ht="15" customHeight="1" x14ac:dyDescent="0.25">
      <c r="A17" s="7">
        <v>2016</v>
      </c>
      <c r="B17" s="8">
        <v>265.69600000000003</v>
      </c>
      <c r="C17" s="9">
        <v>59.43</v>
      </c>
      <c r="D17" s="8">
        <f t="shared" si="0"/>
        <v>206.26600000000002</v>
      </c>
      <c r="E17" s="9">
        <v>28.05</v>
      </c>
      <c r="F17" s="9">
        <v>121.147121</v>
      </c>
      <c r="G17" s="8">
        <f t="shared" si="1"/>
        <v>3398.1767440500003</v>
      </c>
      <c r="H17" s="8">
        <v>794.82100000000003</v>
      </c>
      <c r="I17" s="8">
        <v>67.078000000000003</v>
      </c>
      <c r="J17" s="8">
        <f t="shared" si="2"/>
        <v>861.899</v>
      </c>
      <c r="K17" s="8">
        <f t="shared" si="3"/>
        <v>2536.2777440500004</v>
      </c>
      <c r="L17" s="8">
        <f>204.998+456.638+189.5</f>
        <v>851.13599999999997</v>
      </c>
      <c r="M17" s="8">
        <v>495.95600000000002</v>
      </c>
      <c r="N17" s="8">
        <v>0</v>
      </c>
      <c r="O17" s="8">
        <f t="shared" si="4"/>
        <v>1347.0920000000001</v>
      </c>
      <c r="P17" s="8">
        <f t="shared" si="5"/>
        <v>4745.2687440500004</v>
      </c>
      <c r="Q17" s="8">
        <f t="shared" si="6"/>
        <v>3883.3697440500005</v>
      </c>
      <c r="R17" s="8">
        <v>173.988</v>
      </c>
      <c r="S17" s="8">
        <v>16.300999999999998</v>
      </c>
      <c r="T17" s="8">
        <v>26.17</v>
      </c>
      <c r="U17" s="8">
        <f t="shared" si="7"/>
        <v>42.471000000000004</v>
      </c>
      <c r="V17" s="8">
        <f t="shared" si="8"/>
        <v>131.517</v>
      </c>
      <c r="W17" s="8">
        <v>173.33500000000001</v>
      </c>
      <c r="X17" s="8">
        <v>82.695999999999998</v>
      </c>
      <c r="Y17" s="10">
        <f>SUMIF('10 YR UST'!$A$2:$A$27,A17,'10 YR UST'!$B$2:$B$27)/100</f>
        <v>2.4500000000000001E-2</v>
      </c>
      <c r="Z17" s="10">
        <f t="shared" si="9"/>
        <v>6.8418929309291915E-2</v>
      </c>
      <c r="AA17" s="10">
        <f t="shared" si="10"/>
        <v>8.1326266606207176E-2</v>
      </c>
      <c r="AB17" s="11">
        <f t="shared" si="11"/>
        <v>14.615838191203482</v>
      </c>
      <c r="AC17" s="11">
        <f t="shared" si="12"/>
        <v>12.296150330398612</v>
      </c>
      <c r="AD17" s="10">
        <v>0.159</v>
      </c>
      <c r="AE17" s="10">
        <v>0.96</v>
      </c>
      <c r="AF17" s="12">
        <f>WALT_Calc_FR!H8</f>
        <v>4.9123277393774076</v>
      </c>
      <c r="AG17" s="12">
        <f>WALT_Calc_FR!I8</f>
        <v>4.7987906524057529</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9"/>
  <sheetViews>
    <sheetView zoomScaleNormal="100" workbookViewId="0">
      <selection activeCell="C1" sqref="C1"/>
    </sheetView>
  </sheetViews>
  <sheetFormatPr defaultColWidth="8.7109375" defaultRowHeight="15" x14ac:dyDescent="0.25"/>
  <cols>
    <col min="1" max="33" width="12.7109375" customWidth="1"/>
  </cols>
  <sheetData>
    <row r="1" spans="1:33" ht="31.5" customHeight="1" x14ac:dyDescent="0.25">
      <c r="A1" s="3" t="s">
        <v>502</v>
      </c>
    </row>
    <row r="3" spans="1:33" ht="15" customHeight="1" x14ac:dyDescent="0.25">
      <c r="A3" t="s">
        <v>461</v>
      </c>
    </row>
    <row r="4" spans="1:33" ht="18" customHeight="1" x14ac:dyDescent="0.25">
      <c r="A4" s="4" t="s">
        <v>462</v>
      </c>
      <c r="Q4" s="5"/>
      <c r="R4" s="5"/>
      <c r="S4" s="5"/>
    </row>
    <row r="5" spans="1:33" x14ac:dyDescent="0.25">
      <c r="A5" s="13"/>
    </row>
    <row r="6" spans="1:33" ht="15" customHeight="1" x14ac:dyDescent="0.25">
      <c r="A6" s="2"/>
      <c r="B6" s="2" t="s">
        <v>463</v>
      </c>
      <c r="C6" s="2" t="s">
        <v>463</v>
      </c>
      <c r="D6" s="2" t="s">
        <v>464</v>
      </c>
      <c r="E6" s="2" t="s">
        <v>465</v>
      </c>
      <c r="F6" s="2" t="s">
        <v>463</v>
      </c>
      <c r="G6" s="2" t="s">
        <v>464</v>
      </c>
      <c r="H6" s="2" t="s">
        <v>463</v>
      </c>
      <c r="I6" s="2" t="s">
        <v>463</v>
      </c>
      <c r="J6" s="2" t="s">
        <v>464</v>
      </c>
      <c r="K6" s="2" t="s">
        <v>464</v>
      </c>
      <c r="L6" s="2" t="s">
        <v>463</v>
      </c>
      <c r="M6" s="2" t="s">
        <v>463</v>
      </c>
      <c r="N6" s="2" t="s">
        <v>463</v>
      </c>
      <c r="O6" s="2" t="s">
        <v>464</v>
      </c>
      <c r="P6" s="2" t="s">
        <v>464</v>
      </c>
      <c r="Q6" s="2" t="s">
        <v>464</v>
      </c>
      <c r="R6" s="2" t="s">
        <v>463</v>
      </c>
      <c r="S6" s="2" t="s">
        <v>465</v>
      </c>
      <c r="T6" s="2" t="s">
        <v>465</v>
      </c>
      <c r="U6" s="2" t="s">
        <v>464</v>
      </c>
      <c r="V6" s="2" t="s">
        <v>464</v>
      </c>
      <c r="W6" s="2" t="s">
        <v>463</v>
      </c>
      <c r="X6" s="2" t="s">
        <v>463</v>
      </c>
      <c r="Y6" s="2" t="s">
        <v>466</v>
      </c>
      <c r="Z6" s="2" t="s">
        <v>464</v>
      </c>
      <c r="AA6" s="2" t="s">
        <v>464</v>
      </c>
      <c r="AB6" s="2" t="s">
        <v>464</v>
      </c>
      <c r="AC6" s="2" t="s">
        <v>464</v>
      </c>
      <c r="AD6" s="2" t="s">
        <v>465</v>
      </c>
      <c r="AE6" s="2" t="s">
        <v>465</v>
      </c>
      <c r="AF6" s="2" t="s">
        <v>467</v>
      </c>
      <c r="AG6" s="2" t="s">
        <v>467</v>
      </c>
    </row>
    <row r="7" spans="1:33" ht="75" customHeight="1" x14ac:dyDescent="0.25">
      <c r="A7" s="6" t="s">
        <v>468</v>
      </c>
      <c r="B7" s="6" t="s">
        <v>469</v>
      </c>
      <c r="C7" s="6" t="s">
        <v>470</v>
      </c>
      <c r="D7" s="6" t="s">
        <v>471</v>
      </c>
      <c r="E7" s="6" t="s">
        <v>472</v>
      </c>
      <c r="F7" s="6" t="s">
        <v>473</v>
      </c>
      <c r="G7" s="6" t="s">
        <v>474</v>
      </c>
      <c r="H7" s="6" t="s">
        <v>475</v>
      </c>
      <c r="I7" s="6" t="s">
        <v>476</v>
      </c>
      <c r="J7" s="6" t="s">
        <v>477</v>
      </c>
      <c r="K7" s="6" t="s">
        <v>478</v>
      </c>
      <c r="L7" s="6" t="s">
        <v>479</v>
      </c>
      <c r="M7" s="6" t="s">
        <v>480</v>
      </c>
      <c r="N7" s="6" t="s">
        <v>481</v>
      </c>
      <c r="O7" s="6" t="s">
        <v>482</v>
      </c>
      <c r="P7" s="6" t="s">
        <v>483</v>
      </c>
      <c r="Q7" s="6" t="s">
        <v>484</v>
      </c>
      <c r="R7" s="6" t="s">
        <v>485</v>
      </c>
      <c r="S7" s="6" t="s">
        <v>486</v>
      </c>
      <c r="T7" s="6" t="s">
        <v>487</v>
      </c>
      <c r="U7" s="6" t="s">
        <v>488</v>
      </c>
      <c r="V7" s="6" t="s">
        <v>489</v>
      </c>
      <c r="W7" s="6" t="s">
        <v>490</v>
      </c>
      <c r="X7" s="6" t="s">
        <v>491</v>
      </c>
      <c r="Y7" s="6" t="s">
        <v>492</v>
      </c>
      <c r="Z7" s="6" t="s">
        <v>493</v>
      </c>
      <c r="AA7" s="6" t="s">
        <v>494</v>
      </c>
      <c r="AB7" s="6" t="s">
        <v>495</v>
      </c>
      <c r="AC7" s="6" t="s">
        <v>496</v>
      </c>
      <c r="AD7" s="6" t="s">
        <v>497</v>
      </c>
      <c r="AE7" s="6" t="s">
        <v>498</v>
      </c>
      <c r="AF7" s="6" t="s">
        <v>499</v>
      </c>
      <c r="AG7" s="6" t="s">
        <v>500</v>
      </c>
    </row>
    <row r="8" spans="1:33" ht="15" customHeight="1" x14ac:dyDescent="0.25">
      <c r="A8" s="7">
        <v>2025</v>
      </c>
      <c r="B8" s="8">
        <v>673.35900000000004</v>
      </c>
      <c r="C8" s="9">
        <v>132.16</v>
      </c>
      <c r="D8" s="8">
        <f t="shared" ref="D8:D17" si="0">B8-C8</f>
        <v>541.19900000000007</v>
      </c>
      <c r="E8" s="9">
        <v>36.76</v>
      </c>
      <c r="F8" s="9">
        <f>191.005261+3.789707</f>
        <v>194.79496799999998</v>
      </c>
      <c r="G8" s="8">
        <f t="shared" ref="G8:G17" si="1">E8*F8</f>
        <v>7160.6630236799992</v>
      </c>
      <c r="H8" s="8">
        <v>811.56899999999996</v>
      </c>
      <c r="I8" s="8">
        <v>148.37100000000001</v>
      </c>
      <c r="J8" s="8">
        <f t="shared" ref="J8:J17" si="2">H8+I8</f>
        <v>959.93999999999994</v>
      </c>
      <c r="K8" s="8">
        <f t="shared" ref="K8:K17" si="3">G8-J8</f>
        <v>6200.7230236799996</v>
      </c>
      <c r="L8" s="8">
        <f>262+1021.341+1966.994</f>
        <v>3250.335</v>
      </c>
      <c r="M8" s="8">
        <v>3.98</v>
      </c>
      <c r="N8" s="8">
        <v>0</v>
      </c>
      <c r="O8" s="8">
        <f t="shared" ref="O8:O17" si="4">SUM(L8:N8)</f>
        <v>3254.3150000000001</v>
      </c>
      <c r="P8" s="8">
        <f t="shared" ref="P8:P17" si="5">G8+O8</f>
        <v>10414.97802368</v>
      </c>
      <c r="Q8" s="8">
        <f t="shared" ref="Q8:Q17" si="6">K8+O8</f>
        <v>9455.0380236799992</v>
      </c>
      <c r="R8" s="8">
        <v>486.976</v>
      </c>
      <c r="S8" s="8"/>
      <c r="T8" s="8"/>
      <c r="U8" s="8">
        <v>31.396999999999998</v>
      </c>
      <c r="V8" s="8">
        <f t="shared" ref="V8:V17" si="7">R8-U8</f>
        <v>455.57900000000001</v>
      </c>
      <c r="W8" s="8">
        <v>463.38799999999998</v>
      </c>
      <c r="X8" s="8">
        <v>283.971</v>
      </c>
      <c r="Y8" s="10">
        <f>SUMIF('10 YR UST'!$A$2:$A$27,A8,'10 YR UST'!$B$2:$B$27)/100</f>
        <v>4.1799999999999997E-2</v>
      </c>
      <c r="Z8" s="10">
        <f t="shared" ref="Z8:Z17" si="8">B8/Q8</f>
        <v>7.1216953153819443E-2</v>
      </c>
      <c r="AA8" s="10">
        <f t="shared" ref="AA8:AA17" si="9">D8/K8</f>
        <v>8.7279982984760016E-2</v>
      </c>
      <c r="AB8" s="11">
        <f t="shared" ref="AB8:AB17" si="10">Q8/B8</f>
        <v>14.041600429607385</v>
      </c>
      <c r="AC8" s="11">
        <f t="shared" ref="AC8:AC17" si="11">K8/D8</f>
        <v>11.457380785404258</v>
      </c>
      <c r="AD8" s="10">
        <f>(3404696*0.432+10971964*0.366)/(3404696+10971964)</f>
        <v>0.3816301906005985</v>
      </c>
      <c r="AE8" s="10">
        <v>0.96399999999999997</v>
      </c>
      <c r="AF8" s="12">
        <f>WALT_Calc_STAG!H8</f>
        <v>4.8683993301673478</v>
      </c>
      <c r="AG8" s="12">
        <f>WALT_Calc_STAG!I8</f>
        <v>4.8714038324312092</v>
      </c>
    </row>
    <row r="9" spans="1:33" ht="15" customHeight="1" x14ac:dyDescent="0.25">
      <c r="A9" s="7">
        <v>2024</v>
      </c>
      <c r="B9" s="8">
        <v>612.55600000000004</v>
      </c>
      <c r="C9" s="9">
        <v>113.169</v>
      </c>
      <c r="D9" s="8">
        <f t="shared" si="0"/>
        <v>499.38700000000006</v>
      </c>
      <c r="E9" s="9">
        <v>33.82</v>
      </c>
      <c r="F9" s="9">
        <f>186.517523+3.77238</f>
        <v>190.28990300000001</v>
      </c>
      <c r="G9" s="8">
        <f t="shared" si="1"/>
        <v>6435.6045194600001</v>
      </c>
      <c r="H9" s="8">
        <v>771.79399999999998</v>
      </c>
      <c r="I9" s="8">
        <v>218.61600000000001</v>
      </c>
      <c r="J9" s="8">
        <f t="shared" si="2"/>
        <v>990.41</v>
      </c>
      <c r="K9" s="8">
        <f t="shared" si="3"/>
        <v>5445.1945194600003</v>
      </c>
      <c r="L9" s="8">
        <f>409+1021.848+1594.092</f>
        <v>3024.94</v>
      </c>
      <c r="M9" s="8">
        <v>4.1950000000000003</v>
      </c>
      <c r="N9" s="8">
        <v>0</v>
      </c>
      <c r="O9" s="8">
        <f t="shared" si="4"/>
        <v>3029.1350000000002</v>
      </c>
      <c r="P9" s="8">
        <f t="shared" si="5"/>
        <v>9464.7395194599994</v>
      </c>
      <c r="Q9" s="8">
        <f t="shared" si="6"/>
        <v>8474.3295194599996</v>
      </c>
      <c r="R9" s="8">
        <v>446.46600000000001</v>
      </c>
      <c r="S9" s="8"/>
      <c r="T9" s="8"/>
      <c r="U9" s="8">
        <v>27.158000000000001</v>
      </c>
      <c r="V9" s="8">
        <f t="shared" si="7"/>
        <v>419.30799999999999</v>
      </c>
      <c r="W9" s="8">
        <v>460.29199999999997</v>
      </c>
      <c r="X9" s="8">
        <v>274.92</v>
      </c>
      <c r="Y9" s="10">
        <f>SUMIF('10 YR UST'!$A$2:$A$27,A9,'10 YR UST'!$B$2:$B$27)/100</f>
        <v>4.58E-2</v>
      </c>
      <c r="Z9" s="10">
        <f t="shared" si="8"/>
        <v>7.228371266344541E-2</v>
      </c>
      <c r="AA9" s="10">
        <f t="shared" si="9"/>
        <v>9.1711507865383707E-2</v>
      </c>
      <c r="AB9" s="11">
        <f t="shared" si="10"/>
        <v>13.834375174612605</v>
      </c>
      <c r="AC9" s="11">
        <f t="shared" si="11"/>
        <v>10.90375704505724</v>
      </c>
      <c r="AD9" s="10">
        <f>(2861955*0.311+10675681*0.445)/(2861955+10675681)</f>
        <v>0.41667142254378831</v>
      </c>
      <c r="AE9" s="10">
        <v>0.96499999999999997</v>
      </c>
      <c r="AF9" s="12">
        <f>WALT_Calc_STAG!H9</f>
        <v>4.8658622080001095</v>
      </c>
      <c r="AG9" s="12">
        <f>WALT_Calc_STAG!I9</f>
        <v>4.9047011071517046</v>
      </c>
    </row>
    <row r="10" spans="1:33" ht="15" customHeight="1" x14ac:dyDescent="0.25">
      <c r="A10" s="7">
        <v>2023</v>
      </c>
      <c r="B10" s="8">
        <v>568.23900000000003</v>
      </c>
      <c r="C10" s="9">
        <v>94.575000000000003</v>
      </c>
      <c r="D10" s="8">
        <f t="shared" si="0"/>
        <v>473.66400000000004</v>
      </c>
      <c r="E10" s="9">
        <v>39.26</v>
      </c>
      <c r="F10" s="9">
        <f>181.690867+3.829638</f>
        <v>185.52050499999999</v>
      </c>
      <c r="G10" s="8">
        <f t="shared" si="1"/>
        <v>7283.5350262999991</v>
      </c>
      <c r="H10" s="8">
        <v>698.63300000000004</v>
      </c>
      <c r="I10" s="8">
        <v>98.853999999999999</v>
      </c>
      <c r="J10" s="8">
        <f t="shared" si="2"/>
        <v>797.48700000000008</v>
      </c>
      <c r="K10" s="8">
        <f t="shared" si="3"/>
        <v>6486.048026299999</v>
      </c>
      <c r="L10" s="8">
        <f>402+1021.773+1195.872</f>
        <v>2619.6450000000004</v>
      </c>
      <c r="M10" s="8">
        <v>4.4009999999999998</v>
      </c>
      <c r="N10" s="8">
        <v>0</v>
      </c>
      <c r="O10" s="8">
        <f t="shared" si="4"/>
        <v>2624.0460000000003</v>
      </c>
      <c r="P10" s="8">
        <f t="shared" si="5"/>
        <v>9907.5810262999985</v>
      </c>
      <c r="Q10" s="8">
        <f t="shared" si="6"/>
        <v>9110.0940262999993</v>
      </c>
      <c r="R10" s="8">
        <v>422.375</v>
      </c>
      <c r="S10" s="8"/>
      <c r="T10" s="8"/>
      <c r="U10" s="8">
        <v>21.117000000000001</v>
      </c>
      <c r="V10" s="8">
        <f t="shared" si="7"/>
        <v>401.25799999999998</v>
      </c>
      <c r="W10" s="8">
        <v>391.09199999999998</v>
      </c>
      <c r="X10" s="8">
        <v>267.56700000000001</v>
      </c>
      <c r="Y10" s="10">
        <f>SUMIF('10 YR UST'!$A$2:$A$27,A10,'10 YR UST'!$B$2:$B$27)/100</f>
        <v>3.8800000000000001E-2</v>
      </c>
      <c r="Z10" s="10">
        <f t="shared" si="8"/>
        <v>6.2374658083609959E-2</v>
      </c>
      <c r="AA10" s="10">
        <f t="shared" si="9"/>
        <v>7.3028136405922386E-2</v>
      </c>
      <c r="AB10" s="11">
        <f t="shared" si="10"/>
        <v>16.032152010509659</v>
      </c>
      <c r="AC10" s="11">
        <f t="shared" si="11"/>
        <v>13.693352305220575</v>
      </c>
      <c r="AD10" s="10">
        <f>(2991646*0.543+10322350*0.405)/(2991646+10322350)</f>
        <v>0.43600850773877359</v>
      </c>
      <c r="AE10" s="10">
        <v>0.98199999999999998</v>
      </c>
      <c r="AF10" s="12">
        <f>WALT_Calc_STAG!H10</f>
        <v>4.947004604657109</v>
      </c>
      <c r="AG10" s="12">
        <f>WALT_Calc_STAG!I10</f>
        <v>4.9943243885881268</v>
      </c>
    </row>
    <row r="11" spans="1:33" ht="15" customHeight="1" x14ac:dyDescent="0.25">
      <c r="A11" s="7">
        <v>2022</v>
      </c>
      <c r="B11" s="8">
        <v>531.64400000000001</v>
      </c>
      <c r="C11" s="9">
        <v>78.018000000000001</v>
      </c>
      <c r="D11" s="8">
        <f t="shared" si="0"/>
        <v>453.62599999999998</v>
      </c>
      <c r="E11" s="9">
        <v>32.31</v>
      </c>
      <c r="F11" s="9">
        <f>179.24898+3.884716</f>
        <v>183.13369599999999</v>
      </c>
      <c r="G11" s="8">
        <f t="shared" si="1"/>
        <v>5917.04971776</v>
      </c>
      <c r="H11" s="8">
        <v>647.09799999999996</v>
      </c>
      <c r="I11" s="8">
        <v>89.980999999999995</v>
      </c>
      <c r="J11" s="8">
        <f t="shared" si="2"/>
        <v>737.07899999999995</v>
      </c>
      <c r="K11" s="8">
        <f t="shared" si="3"/>
        <v>5179.9707177600003</v>
      </c>
      <c r="L11" s="8">
        <f>175+1020.44+1295.442</f>
        <v>2490.8820000000001</v>
      </c>
      <c r="M11" s="8">
        <v>7.8979999999999997</v>
      </c>
      <c r="N11" s="8">
        <v>0</v>
      </c>
      <c r="O11" s="8">
        <f t="shared" si="4"/>
        <v>2498.7800000000002</v>
      </c>
      <c r="P11" s="8">
        <f t="shared" si="5"/>
        <v>8415.8297177599998</v>
      </c>
      <c r="Q11" s="8">
        <f t="shared" si="6"/>
        <v>7678.75071776</v>
      </c>
      <c r="R11" s="8">
        <v>403.35399999999998</v>
      </c>
      <c r="S11" s="8"/>
      <c r="T11" s="8"/>
      <c r="U11" s="8">
        <v>26.69</v>
      </c>
      <c r="V11" s="8">
        <f t="shared" si="7"/>
        <v>376.66399999999999</v>
      </c>
      <c r="W11" s="8">
        <v>387.93099999999998</v>
      </c>
      <c r="X11" s="8">
        <v>266.81700000000001</v>
      </c>
      <c r="Y11" s="10">
        <f>SUMIF('10 YR UST'!$A$2:$A$27,A11,'10 YR UST'!$B$2:$B$27)/100</f>
        <v>3.8800000000000001E-2</v>
      </c>
      <c r="Z11" s="10">
        <f t="shared" si="8"/>
        <v>6.9235741534149978E-2</v>
      </c>
      <c r="AA11" s="10">
        <f t="shared" si="9"/>
        <v>8.7573081918147153E-2</v>
      </c>
      <c r="AB11" s="11">
        <f t="shared" si="10"/>
        <v>14.443407087750449</v>
      </c>
      <c r="AC11" s="11">
        <f t="shared" si="11"/>
        <v>11.419034001049324</v>
      </c>
      <c r="AD11" s="10">
        <f>(4376929*0.312+7795545*0.205)/(4376929+7795545)</f>
        <v>0.24347462750793306</v>
      </c>
      <c r="AE11" s="10">
        <v>0.98499999999999999</v>
      </c>
      <c r="AF11" s="12">
        <f>WALT_Calc_STAG!H11</f>
        <v>5.1672642523078247</v>
      </c>
      <c r="AG11" s="12">
        <f>WALT_Calc_STAG!I11</f>
        <v>5.2907163299335433</v>
      </c>
    </row>
    <row r="12" spans="1:33" ht="15" customHeight="1" x14ac:dyDescent="0.25">
      <c r="A12" s="7">
        <v>2021</v>
      </c>
      <c r="B12" s="8">
        <v>454.173</v>
      </c>
      <c r="C12" s="9">
        <v>63.484000000000002</v>
      </c>
      <c r="D12" s="8">
        <f t="shared" si="0"/>
        <v>390.68900000000002</v>
      </c>
      <c r="E12" s="9">
        <v>47.96</v>
      </c>
      <c r="F12" s="9">
        <f>177.769342+3.519764</f>
        <v>181.289106</v>
      </c>
      <c r="G12" s="8">
        <f t="shared" si="1"/>
        <v>8694.6255237599999</v>
      </c>
      <c r="H12" s="8">
        <v>617.29700000000003</v>
      </c>
      <c r="I12" s="8">
        <v>36.493000000000002</v>
      </c>
      <c r="J12" s="8">
        <f t="shared" si="2"/>
        <v>653.79000000000008</v>
      </c>
      <c r="K12" s="8">
        <f t="shared" si="3"/>
        <v>8040.8355237599999</v>
      </c>
      <c r="L12" s="8">
        <f>296+970.577+896.941</f>
        <v>2163.518</v>
      </c>
      <c r="M12" s="8">
        <v>54.744</v>
      </c>
      <c r="N12" s="8">
        <v>0</v>
      </c>
      <c r="O12" s="8">
        <f t="shared" si="4"/>
        <v>2218.2620000000002</v>
      </c>
      <c r="P12" s="8">
        <f t="shared" si="5"/>
        <v>10912.88752376</v>
      </c>
      <c r="Q12" s="8">
        <f t="shared" si="6"/>
        <v>10259.09752376</v>
      </c>
      <c r="R12" s="8">
        <v>344.25700000000001</v>
      </c>
      <c r="S12" s="8"/>
      <c r="T12" s="8"/>
      <c r="U12" s="8">
        <f>8.833+9.537</f>
        <v>18.37</v>
      </c>
      <c r="V12" s="8">
        <f t="shared" si="7"/>
        <v>325.887</v>
      </c>
      <c r="W12" s="8">
        <v>336.154</v>
      </c>
      <c r="X12" s="8">
        <v>245.72200000000001</v>
      </c>
      <c r="Y12" s="10">
        <f>SUMIF('10 YR UST'!$A$2:$A$27,A12,'10 YR UST'!$B$2:$B$27)/100</f>
        <v>1.52E-2</v>
      </c>
      <c r="Z12" s="10">
        <f t="shared" si="8"/>
        <v>4.4270268310456981E-2</v>
      </c>
      <c r="AA12" s="10">
        <f t="shared" si="9"/>
        <v>4.8588109885539452E-2</v>
      </c>
      <c r="AB12" s="11">
        <f t="shared" si="10"/>
        <v>22.588523588500415</v>
      </c>
      <c r="AC12" s="11">
        <f t="shared" si="11"/>
        <v>20.581166922437028</v>
      </c>
      <c r="AD12" s="10">
        <f>(4257914*0.149+9448145*0.186)/(4257914+9448145)</f>
        <v>0.17450560777536417</v>
      </c>
      <c r="AE12" s="10">
        <v>0.96899999999999997</v>
      </c>
      <c r="AF12" s="12">
        <f>WALT_Calc_STAG!H12</f>
        <v>5.4443223764788886</v>
      </c>
      <c r="AG12" s="12">
        <f>WALT_Calc_STAG!I12</f>
        <v>5.582347891946478</v>
      </c>
    </row>
    <row r="13" spans="1:33" ht="15" customHeight="1" x14ac:dyDescent="0.25">
      <c r="A13" s="7">
        <v>2020</v>
      </c>
      <c r="B13" s="8">
        <v>394.05200000000002</v>
      </c>
      <c r="C13" s="9">
        <v>62.343000000000004</v>
      </c>
      <c r="D13" s="8">
        <f t="shared" si="0"/>
        <v>331.709</v>
      </c>
      <c r="E13" s="9">
        <v>31.32</v>
      </c>
      <c r="F13" s="9">
        <f>158.209823+3.285238</f>
        <v>161.49506099999999</v>
      </c>
      <c r="G13" s="8">
        <f t="shared" si="1"/>
        <v>5058.0253105199999</v>
      </c>
      <c r="H13" s="8">
        <v>492.78300000000002</v>
      </c>
      <c r="I13" s="8">
        <v>18.052</v>
      </c>
      <c r="J13" s="8">
        <f t="shared" si="2"/>
        <v>510.83500000000004</v>
      </c>
      <c r="K13" s="8">
        <f t="shared" si="3"/>
        <v>4547.1903105199999</v>
      </c>
      <c r="L13" s="8">
        <f>107+971.111+573.281</f>
        <v>1651.3919999999998</v>
      </c>
      <c r="M13" s="8">
        <v>51.898000000000003</v>
      </c>
      <c r="N13" s="8">
        <v>75</v>
      </c>
      <c r="O13" s="8">
        <f t="shared" si="4"/>
        <v>1778.2899999999997</v>
      </c>
      <c r="P13" s="8">
        <f t="shared" si="5"/>
        <v>6836.3153105199999</v>
      </c>
      <c r="Q13" s="8">
        <f t="shared" si="6"/>
        <v>6325.4803105199999</v>
      </c>
      <c r="R13" s="8">
        <v>288.71499999999997</v>
      </c>
      <c r="S13" s="8"/>
      <c r="T13" s="8"/>
      <c r="U13" s="8">
        <f>9.375+6.219</f>
        <v>15.594000000000001</v>
      </c>
      <c r="V13" s="8">
        <f t="shared" si="7"/>
        <v>273.12099999999998</v>
      </c>
      <c r="W13" s="8">
        <v>293.92200000000003</v>
      </c>
      <c r="X13" s="8">
        <v>224.28299999999999</v>
      </c>
      <c r="Y13" s="10">
        <f>SUMIF('10 YR UST'!$A$2:$A$27,A13,'10 YR UST'!$B$2:$B$27)/100</f>
        <v>9.300000000000001E-3</v>
      </c>
      <c r="Z13" s="10">
        <f t="shared" si="8"/>
        <v>6.2295980803963029E-2</v>
      </c>
      <c r="AA13" s="10">
        <f t="shared" si="9"/>
        <v>7.2948123423069791E-2</v>
      </c>
      <c r="AB13" s="11">
        <f t="shared" si="10"/>
        <v>16.052399963761125</v>
      </c>
      <c r="AC13" s="11">
        <f t="shared" si="11"/>
        <v>13.708371827475286</v>
      </c>
      <c r="AD13" s="10">
        <f>(2775376*0.011+8880415*0.101)/(2775376+8880415)</f>
        <v>7.956997950632437E-2</v>
      </c>
      <c r="AE13" s="10">
        <v>0.96899999999999997</v>
      </c>
      <c r="AF13" s="12">
        <f>WALT_Calc_STAG!H13</f>
        <v>5.5706075689232977</v>
      </c>
      <c r="AG13" s="12">
        <f>WALT_Calc_STAG!I13</f>
        <v>5.6544523219129443</v>
      </c>
    </row>
    <row r="14" spans="1:33" ht="15" customHeight="1" x14ac:dyDescent="0.25">
      <c r="A14" s="7">
        <v>2019</v>
      </c>
      <c r="B14" s="8">
        <v>330.77100000000002</v>
      </c>
      <c r="C14" s="9">
        <v>54.646999999999998</v>
      </c>
      <c r="D14" s="8">
        <f t="shared" si="0"/>
        <v>276.12400000000002</v>
      </c>
      <c r="E14" s="9">
        <v>31.57</v>
      </c>
      <c r="F14" s="9">
        <f>142.815593+3.736852</f>
        <v>146.55244500000001</v>
      </c>
      <c r="G14" s="8">
        <f t="shared" si="1"/>
        <v>4626.6606886500003</v>
      </c>
      <c r="H14" s="8">
        <v>435.923</v>
      </c>
      <c r="I14" s="8">
        <v>29.405999999999999</v>
      </c>
      <c r="J14" s="8">
        <f t="shared" si="2"/>
        <v>465.32900000000001</v>
      </c>
      <c r="K14" s="8">
        <f t="shared" si="3"/>
        <v>4161.3316886500006</v>
      </c>
      <c r="L14" s="8">
        <f>146+871.375+572.883</f>
        <v>1590.258</v>
      </c>
      <c r="M14" s="8">
        <v>54.755000000000003</v>
      </c>
      <c r="N14" s="8">
        <v>75</v>
      </c>
      <c r="O14" s="8">
        <f t="shared" si="4"/>
        <v>1720.0130000000001</v>
      </c>
      <c r="P14" s="8">
        <f t="shared" si="5"/>
        <v>6346.6736886500003</v>
      </c>
      <c r="Q14" s="8">
        <f t="shared" si="6"/>
        <v>5881.3446886500005</v>
      </c>
      <c r="R14" s="8">
        <v>237.345</v>
      </c>
      <c r="S14" s="8"/>
      <c r="T14" s="8"/>
      <c r="U14" s="8">
        <f>5.351+5.328</f>
        <v>10.679</v>
      </c>
      <c r="V14" s="8">
        <f t="shared" si="7"/>
        <v>226.666</v>
      </c>
      <c r="W14" s="8">
        <v>233.357</v>
      </c>
      <c r="X14" s="8">
        <v>189.58099999999999</v>
      </c>
      <c r="Y14" s="10">
        <f>SUMIF('10 YR UST'!$A$2:$A$27,A14,'10 YR UST'!$B$2:$B$27)/100</f>
        <v>1.9199999999999998E-2</v>
      </c>
      <c r="Z14" s="10">
        <f t="shared" si="8"/>
        <v>5.6240709822420722E-2</v>
      </c>
      <c r="AA14" s="10">
        <f t="shared" si="9"/>
        <v>6.6354720233699718E-2</v>
      </c>
      <c r="AB14" s="11">
        <f t="shared" si="10"/>
        <v>17.780714417678698</v>
      </c>
      <c r="AC14" s="11">
        <f t="shared" si="11"/>
        <v>15.070517914596342</v>
      </c>
      <c r="AD14" s="10">
        <f>(1869573*0.246+7740691*0.17)/(1869573+7740691)</f>
        <v>0.18478497864366686</v>
      </c>
      <c r="AE14" s="10">
        <v>0.95</v>
      </c>
      <c r="AF14" s="12">
        <f>WALT_Calc_STAG!H14</f>
        <v>5.5025748153911556</v>
      </c>
      <c r="AG14" s="12">
        <f>WALT_Calc_STAG!I14</f>
        <v>5.570813092759658</v>
      </c>
    </row>
    <row r="15" spans="1:33" ht="15" customHeight="1" x14ac:dyDescent="0.25">
      <c r="A15" s="7">
        <v>2018</v>
      </c>
      <c r="B15" s="8">
        <v>281.97199999999998</v>
      </c>
      <c r="C15" s="9">
        <v>48.817</v>
      </c>
      <c r="D15" s="8">
        <f t="shared" si="0"/>
        <v>233.15499999999997</v>
      </c>
      <c r="E15" s="9">
        <v>24.88</v>
      </c>
      <c r="F15" s="9">
        <f>112.165786+4.069434</f>
        <v>116.23522</v>
      </c>
      <c r="G15" s="8">
        <f t="shared" si="1"/>
        <v>2891.9322735999999</v>
      </c>
      <c r="H15" s="8">
        <v>364.02300000000002</v>
      </c>
      <c r="I15" s="8">
        <v>3.9489999999999998</v>
      </c>
      <c r="J15" s="8">
        <f t="shared" si="2"/>
        <v>367.97200000000004</v>
      </c>
      <c r="K15" s="8">
        <f t="shared" si="3"/>
        <v>2523.9602735999997</v>
      </c>
      <c r="L15" s="8">
        <f>100.5+596.36+572.488</f>
        <v>1269.348</v>
      </c>
      <c r="M15" s="8">
        <v>56.56</v>
      </c>
      <c r="N15" s="8">
        <v>75</v>
      </c>
      <c r="O15" s="8">
        <f t="shared" si="4"/>
        <v>1400.9079999999999</v>
      </c>
      <c r="P15" s="8">
        <f t="shared" si="5"/>
        <v>4292.8402735999998</v>
      </c>
      <c r="Q15" s="8">
        <f t="shared" si="6"/>
        <v>3924.8682735999996</v>
      </c>
      <c r="R15" s="8">
        <v>194.32400000000001</v>
      </c>
      <c r="S15" s="8"/>
      <c r="T15" s="8"/>
      <c r="U15" s="8">
        <f>5.355+4.97</f>
        <v>10.324999999999999</v>
      </c>
      <c r="V15" s="8">
        <f t="shared" si="7"/>
        <v>183.99900000000002</v>
      </c>
      <c r="W15" s="8">
        <v>197.76900000000001</v>
      </c>
      <c r="X15" s="8">
        <v>158.869</v>
      </c>
      <c r="Y15" s="10">
        <f>SUMIF('10 YR UST'!$A$2:$A$27,A15,'10 YR UST'!$B$2:$B$27)/100</f>
        <v>2.69E-2</v>
      </c>
      <c r="Z15" s="10">
        <f t="shared" si="8"/>
        <v>7.1842411093549219E-2</v>
      </c>
      <c r="AA15" s="10">
        <f t="shared" si="9"/>
        <v>9.2376652056985059E-2</v>
      </c>
      <c r="AB15" s="11">
        <f t="shared" si="10"/>
        <v>13.919354665002198</v>
      </c>
      <c r="AC15" s="11">
        <f t="shared" si="11"/>
        <v>10.825246182153503</v>
      </c>
      <c r="AD15" s="10">
        <f>(2513085*0.178+7129299*0.145)/(2513085+7129299)</f>
        <v>0.153600757343827</v>
      </c>
      <c r="AE15" s="10">
        <v>0.95499999999999996</v>
      </c>
      <c r="AF15" s="12">
        <f>WALT_Calc_STAG!H15</f>
        <v>5.2431987954111259</v>
      </c>
      <c r="AG15" s="12">
        <f>WALT_Calc_STAG!I15</f>
        <v>5.2328625192855158</v>
      </c>
    </row>
    <row r="16" spans="1:33" ht="15" customHeight="1" x14ac:dyDescent="0.25">
      <c r="A16" s="7">
        <v>2017</v>
      </c>
      <c r="B16" s="8">
        <v>243.334</v>
      </c>
      <c r="C16" s="9">
        <v>42.469000000000001</v>
      </c>
      <c r="D16" s="8">
        <f t="shared" si="0"/>
        <v>200.86500000000001</v>
      </c>
      <c r="E16" s="9">
        <v>27.33</v>
      </c>
      <c r="F16" s="9">
        <f>97.012543+4.096687</f>
        <v>101.10923</v>
      </c>
      <c r="G16" s="8">
        <f t="shared" si="1"/>
        <v>2763.3152558999996</v>
      </c>
      <c r="H16" s="8">
        <v>321.56</v>
      </c>
      <c r="I16" s="8">
        <v>2.8769999999999998</v>
      </c>
      <c r="J16" s="8">
        <f t="shared" si="2"/>
        <v>324.43700000000001</v>
      </c>
      <c r="K16" s="8">
        <f t="shared" si="3"/>
        <v>2438.8782558999997</v>
      </c>
      <c r="L16" s="8">
        <f>271+446.265+398.234</f>
        <v>1115.499</v>
      </c>
      <c r="M16" s="8">
        <v>58.281999999999996</v>
      </c>
      <c r="N16" s="8">
        <f>70+75</f>
        <v>145</v>
      </c>
      <c r="O16" s="8">
        <f t="shared" si="4"/>
        <v>1318.7809999999999</v>
      </c>
      <c r="P16" s="8">
        <f t="shared" si="5"/>
        <v>4082.0962558999995</v>
      </c>
      <c r="Q16" s="8">
        <f t="shared" si="6"/>
        <v>3757.6592558999996</v>
      </c>
      <c r="R16" s="8">
        <v>159.26499999999999</v>
      </c>
      <c r="S16" s="8"/>
      <c r="T16" s="8"/>
      <c r="U16" s="8">
        <f>4.763+4.365</f>
        <v>9.1280000000000001</v>
      </c>
      <c r="V16" s="8">
        <f t="shared" si="7"/>
        <v>150.137</v>
      </c>
      <c r="W16" s="8">
        <v>162.56200000000001</v>
      </c>
      <c r="X16" s="8">
        <v>141.006</v>
      </c>
      <c r="Y16" s="10">
        <f>SUMIF('10 YR UST'!$A$2:$A$27,A16,'10 YR UST'!$B$2:$B$27)/100</f>
        <v>2.4E-2</v>
      </c>
      <c r="Z16" s="10">
        <f t="shared" si="8"/>
        <v>6.4756802953310599E-2</v>
      </c>
      <c r="AA16" s="10">
        <f t="shared" si="9"/>
        <v>8.2359584581181325E-2</v>
      </c>
      <c r="AB16" s="11">
        <f t="shared" si="10"/>
        <v>15.442392990293175</v>
      </c>
      <c r="AC16" s="11">
        <f t="shared" si="11"/>
        <v>12.141877658626438</v>
      </c>
      <c r="AD16" s="10">
        <f>(2554246*0.106+8644161*0.109)/(2554246+8644161)</f>
        <v>0.10831572963904598</v>
      </c>
      <c r="AE16" s="10">
        <v>0.95299999999999996</v>
      </c>
      <c r="AF16" s="12">
        <f>WALT_Calc_STAG!H16</f>
        <v>5.0156862971853506</v>
      </c>
      <c r="AG16" s="12">
        <f>WALT_Calc_STAG!I16</f>
        <v>5.0518498751640415</v>
      </c>
    </row>
    <row r="17" spans="1:33" ht="15" customHeight="1" x14ac:dyDescent="0.25">
      <c r="A17" s="7">
        <v>2016</v>
      </c>
      <c r="B17" s="8">
        <v>201.12899999999999</v>
      </c>
      <c r="C17" s="9">
        <v>42.923000000000002</v>
      </c>
      <c r="D17" s="8">
        <f t="shared" si="0"/>
        <v>158.20599999999999</v>
      </c>
      <c r="E17" s="9">
        <v>23.87</v>
      </c>
      <c r="F17" s="9">
        <f>80.352304+3.633881</f>
        <v>83.986185000000006</v>
      </c>
      <c r="G17" s="8">
        <f t="shared" si="1"/>
        <v>2004.7502359500002</v>
      </c>
      <c r="H17" s="8">
        <v>272.16199999999998</v>
      </c>
      <c r="I17" s="8">
        <v>9.298</v>
      </c>
      <c r="J17" s="8">
        <f t="shared" si="2"/>
        <v>281.45999999999998</v>
      </c>
      <c r="K17" s="8">
        <f t="shared" si="3"/>
        <v>1723.2902359500001</v>
      </c>
      <c r="L17" s="8">
        <f>28+446.608+397.966</f>
        <v>872.57400000000007</v>
      </c>
      <c r="M17" s="8">
        <v>163.565</v>
      </c>
      <c r="N17" s="8">
        <f>70+75</f>
        <v>145</v>
      </c>
      <c r="O17" s="8">
        <f t="shared" si="4"/>
        <v>1181.1390000000001</v>
      </c>
      <c r="P17" s="8">
        <f t="shared" si="5"/>
        <v>3185.8892359500005</v>
      </c>
      <c r="Q17" s="8">
        <f t="shared" si="6"/>
        <v>2904.4292359500005</v>
      </c>
      <c r="R17" s="8">
        <v>118.34399999999999</v>
      </c>
      <c r="S17" s="8"/>
      <c r="T17" s="8"/>
      <c r="U17" s="8">
        <f>1.893+1.93</f>
        <v>3.823</v>
      </c>
      <c r="V17" s="8">
        <f t="shared" si="7"/>
        <v>114.521</v>
      </c>
      <c r="W17" s="8">
        <v>135.423</v>
      </c>
      <c r="X17" s="8">
        <v>117.441</v>
      </c>
      <c r="Y17" s="10">
        <f>SUMIF('10 YR UST'!$A$2:$A$27,A17,'10 YR UST'!$B$2:$B$27)/100</f>
        <v>2.4500000000000001E-2</v>
      </c>
      <c r="Z17" s="10">
        <f t="shared" si="8"/>
        <v>6.9249061919118629E-2</v>
      </c>
      <c r="AA17" s="10">
        <f t="shared" si="9"/>
        <v>9.1804616947060921E-2</v>
      </c>
      <c r="AB17" s="11">
        <f t="shared" si="10"/>
        <v>14.440628830004627</v>
      </c>
      <c r="AC17" s="11">
        <f t="shared" si="11"/>
        <v>10.892698354992859</v>
      </c>
      <c r="AD17" s="10">
        <f>(749275*0.04+4817462*0.074)/(749275+4817462)</f>
        <v>6.9423647641338182E-2</v>
      </c>
      <c r="AE17" s="10">
        <v>0.94699999999999995</v>
      </c>
      <c r="AF17" s="12">
        <f>WALT_Calc_STAG!H17</f>
        <v>4.6203948626127502</v>
      </c>
      <c r="AG17" s="12">
        <f>WALT_Calc_STAG!I17</f>
        <v>4.6182680419501816</v>
      </c>
    </row>
    <row r="19" spans="1:33" x14ac:dyDescent="0.25">
      <c r="A19" s="13" t="s">
        <v>503</v>
      </c>
    </row>
  </sheetData>
  <pageMargins left="0.75" right="0.75" top="1" bottom="1" header="0.511811023622047" footer="0.511811023622047"/>
  <pageSetup paperSize="9" orientation="portrait" horizontalDpi="300" verticalDpi="30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7"/>
  <sheetViews>
    <sheetView zoomScaleNormal="100" workbookViewId="0"/>
  </sheetViews>
  <sheetFormatPr defaultColWidth="8.7109375" defaultRowHeight="15" x14ac:dyDescent="0.25"/>
  <cols>
    <col min="1" max="1" width="11" customWidth="1"/>
    <col min="2" max="2" width="15" customWidth="1"/>
    <col min="3" max="3" width="10" customWidth="1"/>
    <col min="4" max="4" width="22" customWidth="1"/>
    <col min="5" max="5" width="30" customWidth="1"/>
    <col min="7" max="7" width="11" customWidth="1"/>
    <col min="8" max="8" width="16" customWidth="1"/>
    <col min="9" max="9" width="18" customWidth="1"/>
  </cols>
  <sheetData>
    <row r="1" spans="1:9" ht="15" customHeight="1" x14ac:dyDescent="0.25">
      <c r="A1" s="1" t="s">
        <v>504</v>
      </c>
    </row>
    <row r="2" spans="1:9" ht="15" customHeight="1" x14ac:dyDescent="0.25">
      <c r="A2" s="2" t="s">
        <v>505</v>
      </c>
    </row>
    <row r="3" spans="1:9" ht="15" customHeight="1" x14ac:dyDescent="0.25">
      <c r="A3" s="2" t="s">
        <v>506</v>
      </c>
    </row>
    <row r="4" spans="1:9" ht="15" customHeight="1" x14ac:dyDescent="0.25">
      <c r="A4" s="2" t="s">
        <v>507</v>
      </c>
    </row>
    <row r="7" spans="1:9" ht="30" customHeight="1" x14ac:dyDescent="0.25">
      <c r="A7" s="14" t="s">
        <v>468</v>
      </c>
      <c r="B7" s="14" t="s">
        <v>508</v>
      </c>
      <c r="C7" s="14" t="s">
        <v>509</v>
      </c>
      <c r="D7" s="14" t="s">
        <v>510</v>
      </c>
      <c r="E7" s="14" t="s">
        <v>511</v>
      </c>
      <c r="G7" s="14" t="s">
        <v>468</v>
      </c>
      <c r="H7" s="14" t="s">
        <v>512</v>
      </c>
      <c r="I7" s="14" t="s">
        <v>513</v>
      </c>
    </row>
    <row r="8" spans="1:9" ht="15" customHeight="1" x14ac:dyDescent="0.25">
      <c r="A8" s="2">
        <v>2016</v>
      </c>
      <c r="B8" s="2">
        <v>2017</v>
      </c>
      <c r="C8" s="2">
        <f t="shared" ref="C8:C39" si="0">B8-A8</f>
        <v>1</v>
      </c>
      <c r="D8" s="15">
        <v>4739</v>
      </c>
      <c r="E8" s="15">
        <v>28604</v>
      </c>
      <c r="G8" s="2">
        <v>2016</v>
      </c>
      <c r="H8" s="16">
        <f t="shared" ref="H8:H17" si="1">SUMPRODUCT(($A$8:$A$107=G8)*$C$8:$C$107*$D$8:$D$107)/SUMPRODUCT(($A$8:$A$107=G8)*$D$8:$D$107)</f>
        <v>4.0686959611512492</v>
      </c>
      <c r="I8" s="16">
        <f t="shared" ref="I8:I17" si="2">SUMPRODUCT(($A$8:$A$107=G8)*$C$8:$C$107*$E$8:$E$107)/SUMPRODUCT(($A$8:$A$107=G8)*$E$8:$E$107)</f>
        <v>3.982370250911071</v>
      </c>
    </row>
    <row r="9" spans="1:9" ht="15" customHeight="1" x14ac:dyDescent="0.25">
      <c r="A9" s="2">
        <v>2016</v>
      </c>
      <c r="B9" s="2">
        <v>2018</v>
      </c>
      <c r="C9" s="2">
        <f t="shared" si="0"/>
        <v>2</v>
      </c>
      <c r="D9" s="15">
        <v>5042</v>
      </c>
      <c r="E9" s="15">
        <v>29518</v>
      </c>
      <c r="G9" s="2">
        <v>2017</v>
      </c>
      <c r="H9" s="16">
        <f t="shared" si="1"/>
        <v>4.1507766096874041</v>
      </c>
      <c r="I9" s="16">
        <f t="shared" si="2"/>
        <v>4.0976816163602967</v>
      </c>
    </row>
    <row r="10" spans="1:9" ht="15" customHeight="1" x14ac:dyDescent="0.25">
      <c r="A10" s="2">
        <v>2016</v>
      </c>
      <c r="B10" s="2">
        <v>2019</v>
      </c>
      <c r="C10" s="2">
        <f t="shared" si="0"/>
        <v>3</v>
      </c>
      <c r="D10" s="15">
        <v>5524</v>
      </c>
      <c r="E10" s="15">
        <v>31307</v>
      </c>
      <c r="G10" s="2">
        <v>2018</v>
      </c>
      <c r="H10" s="16">
        <f t="shared" si="1"/>
        <v>4.1461242239279068</v>
      </c>
      <c r="I10" s="16">
        <f t="shared" si="2"/>
        <v>4.0798275892278308</v>
      </c>
    </row>
    <row r="11" spans="1:9" ht="15" customHeight="1" x14ac:dyDescent="0.25">
      <c r="A11" s="2">
        <v>2016</v>
      </c>
      <c r="B11" s="2">
        <v>2020</v>
      </c>
      <c r="C11" s="2">
        <f t="shared" si="0"/>
        <v>4</v>
      </c>
      <c r="D11" s="15">
        <v>4963</v>
      </c>
      <c r="E11" s="15">
        <v>28763</v>
      </c>
      <c r="G11" s="2">
        <v>2019</v>
      </c>
      <c r="H11" s="16">
        <f t="shared" si="1"/>
        <v>3.9763341528222704</v>
      </c>
      <c r="I11" s="16">
        <f t="shared" si="2"/>
        <v>3.9124379984682562</v>
      </c>
    </row>
    <row r="12" spans="1:9" ht="15" customHeight="1" x14ac:dyDescent="0.25">
      <c r="A12" s="2">
        <v>2016</v>
      </c>
      <c r="B12" s="2">
        <v>2021</v>
      </c>
      <c r="C12" s="2">
        <f t="shared" si="0"/>
        <v>5</v>
      </c>
      <c r="D12" s="15">
        <v>5633</v>
      </c>
      <c r="E12" s="15">
        <v>30630</v>
      </c>
      <c r="G12" s="2">
        <v>2020</v>
      </c>
      <c r="H12" s="16">
        <f t="shared" si="1"/>
        <v>3.9452921473762559</v>
      </c>
      <c r="I12" s="16">
        <f t="shared" si="2"/>
        <v>3.9275985114393914</v>
      </c>
    </row>
    <row r="13" spans="1:9" ht="15" customHeight="1" x14ac:dyDescent="0.25">
      <c r="A13" s="2">
        <v>2016</v>
      </c>
      <c r="B13" s="2">
        <v>2022</v>
      </c>
      <c r="C13" s="2">
        <f t="shared" si="0"/>
        <v>6</v>
      </c>
      <c r="D13" s="15">
        <v>2872</v>
      </c>
      <c r="E13" s="15">
        <v>16078</v>
      </c>
      <c r="G13" s="2">
        <v>2021</v>
      </c>
      <c r="H13" s="16">
        <f t="shared" si="1"/>
        <v>4.1511194431874499</v>
      </c>
      <c r="I13" s="16">
        <f t="shared" si="2"/>
        <v>4.0682626330197476</v>
      </c>
    </row>
    <row r="14" spans="1:9" ht="15" customHeight="1" x14ac:dyDescent="0.25">
      <c r="A14" s="2">
        <v>2016</v>
      </c>
      <c r="B14" s="2">
        <v>2023</v>
      </c>
      <c r="C14" s="2">
        <f t="shared" si="0"/>
        <v>7</v>
      </c>
      <c r="D14" s="15">
        <v>1790</v>
      </c>
      <c r="E14" s="15">
        <v>9645</v>
      </c>
      <c r="G14" s="2">
        <v>2022</v>
      </c>
      <c r="H14" s="16">
        <f t="shared" si="1"/>
        <v>4.358625793635337</v>
      </c>
      <c r="I14" s="16">
        <f t="shared" si="2"/>
        <v>4.2481257309783924</v>
      </c>
    </row>
    <row r="15" spans="1:9" ht="15" customHeight="1" x14ac:dyDescent="0.25">
      <c r="A15" s="2">
        <v>2016</v>
      </c>
      <c r="B15" s="2">
        <v>2024</v>
      </c>
      <c r="C15" s="2">
        <f t="shared" si="0"/>
        <v>8</v>
      </c>
      <c r="D15" s="15">
        <v>1542</v>
      </c>
      <c r="E15" s="15">
        <v>6485</v>
      </c>
      <c r="G15" s="2">
        <v>2023</v>
      </c>
      <c r="H15" s="16">
        <f t="shared" si="1"/>
        <v>4.2724317175761808</v>
      </c>
      <c r="I15" s="16">
        <f t="shared" si="2"/>
        <v>4.2649716500889818</v>
      </c>
    </row>
    <row r="16" spans="1:9" ht="15" customHeight="1" x14ac:dyDescent="0.25">
      <c r="A16" s="2">
        <v>2016</v>
      </c>
      <c r="B16" s="2">
        <v>2025</v>
      </c>
      <c r="C16" s="2">
        <f t="shared" si="0"/>
        <v>9</v>
      </c>
      <c r="D16" s="15">
        <v>772</v>
      </c>
      <c r="E16" s="15">
        <v>4597</v>
      </c>
      <c r="G16" s="2">
        <v>2024</v>
      </c>
      <c r="H16" s="16">
        <f t="shared" si="1"/>
        <v>4.2509556808462357</v>
      </c>
      <c r="I16" s="16">
        <f t="shared" si="2"/>
        <v>4.2749859026740404</v>
      </c>
    </row>
    <row r="17" spans="1:9" ht="15" customHeight="1" x14ac:dyDescent="0.25">
      <c r="A17" s="2">
        <v>2016</v>
      </c>
      <c r="B17" s="2">
        <v>2026</v>
      </c>
      <c r="C17" s="2">
        <f t="shared" si="0"/>
        <v>10</v>
      </c>
      <c r="D17" s="15">
        <v>895</v>
      </c>
      <c r="E17" s="15">
        <v>5357</v>
      </c>
      <c r="G17" s="2">
        <v>2025</v>
      </c>
      <c r="H17" s="16">
        <f t="shared" si="1"/>
        <v>4.097525424296748</v>
      </c>
      <c r="I17" s="16">
        <f t="shared" si="2"/>
        <v>4.1074228983117829</v>
      </c>
    </row>
    <row r="18" spans="1:9" ht="15" customHeight="1" x14ac:dyDescent="0.25">
      <c r="A18" s="2">
        <v>2017</v>
      </c>
      <c r="B18" s="2">
        <v>2018</v>
      </c>
      <c r="C18" s="2">
        <f t="shared" si="0"/>
        <v>1</v>
      </c>
      <c r="D18" s="15">
        <v>4111</v>
      </c>
      <c r="E18" s="15">
        <v>24273</v>
      </c>
    </row>
    <row r="19" spans="1:9" ht="15" customHeight="1" x14ac:dyDescent="0.25">
      <c r="A19" s="2">
        <v>2017</v>
      </c>
      <c r="B19" s="2">
        <v>2019</v>
      </c>
      <c r="C19" s="2">
        <f t="shared" si="0"/>
        <v>2</v>
      </c>
      <c r="D19" s="15">
        <v>5699</v>
      </c>
      <c r="E19" s="15">
        <v>34637</v>
      </c>
    </row>
    <row r="20" spans="1:9" ht="15" customHeight="1" x14ac:dyDescent="0.25">
      <c r="A20" s="2">
        <v>2017</v>
      </c>
      <c r="B20" s="2">
        <v>2020</v>
      </c>
      <c r="C20" s="2">
        <f t="shared" si="0"/>
        <v>3</v>
      </c>
      <c r="D20" s="15">
        <v>6263</v>
      </c>
      <c r="E20" s="15">
        <v>36519</v>
      </c>
    </row>
    <row r="21" spans="1:9" ht="15" customHeight="1" x14ac:dyDescent="0.25">
      <c r="A21" s="2">
        <v>2017</v>
      </c>
      <c r="B21" s="2">
        <v>2021</v>
      </c>
      <c r="C21" s="2">
        <f t="shared" si="0"/>
        <v>4</v>
      </c>
      <c r="D21" s="15">
        <v>6324</v>
      </c>
      <c r="E21" s="15">
        <v>36079</v>
      </c>
    </row>
    <row r="22" spans="1:9" ht="15" customHeight="1" x14ac:dyDescent="0.25">
      <c r="A22" s="2">
        <v>2017</v>
      </c>
      <c r="B22" s="2">
        <v>2022</v>
      </c>
      <c r="C22" s="2">
        <f t="shared" si="0"/>
        <v>5</v>
      </c>
      <c r="D22" s="15">
        <v>4671</v>
      </c>
      <c r="E22" s="15">
        <v>27920</v>
      </c>
    </row>
    <row r="23" spans="1:9" ht="15" customHeight="1" x14ac:dyDescent="0.25">
      <c r="A23" s="2">
        <v>2017</v>
      </c>
      <c r="B23" s="2">
        <v>2023</v>
      </c>
      <c r="C23" s="2">
        <f t="shared" si="0"/>
        <v>6</v>
      </c>
      <c r="D23" s="15">
        <v>2696</v>
      </c>
      <c r="E23" s="15">
        <v>13275</v>
      </c>
    </row>
    <row r="24" spans="1:9" ht="15" customHeight="1" x14ac:dyDescent="0.25">
      <c r="A24" s="2">
        <v>2017</v>
      </c>
      <c r="B24" s="2">
        <v>2024</v>
      </c>
      <c r="C24" s="2">
        <f t="shared" si="0"/>
        <v>7</v>
      </c>
      <c r="D24" s="15">
        <v>2736</v>
      </c>
      <c r="E24" s="15">
        <v>15600</v>
      </c>
    </row>
    <row r="25" spans="1:9" ht="15" customHeight="1" x14ac:dyDescent="0.25">
      <c r="A25" s="2">
        <v>2017</v>
      </c>
      <c r="B25" s="2">
        <v>2025</v>
      </c>
      <c r="C25" s="2">
        <f t="shared" si="0"/>
        <v>8</v>
      </c>
      <c r="D25" s="15">
        <v>1156</v>
      </c>
      <c r="E25" s="15">
        <v>6184</v>
      </c>
    </row>
    <row r="26" spans="1:9" ht="15" customHeight="1" x14ac:dyDescent="0.25">
      <c r="A26" s="2">
        <v>2017</v>
      </c>
      <c r="B26" s="2">
        <v>2026</v>
      </c>
      <c r="C26" s="2">
        <f t="shared" si="0"/>
        <v>9</v>
      </c>
      <c r="D26" s="15">
        <v>724</v>
      </c>
      <c r="E26" s="15">
        <v>4784</v>
      </c>
    </row>
    <row r="27" spans="1:9" ht="15" customHeight="1" x14ac:dyDescent="0.25">
      <c r="A27" s="2">
        <v>2017</v>
      </c>
      <c r="B27" s="2">
        <v>2027</v>
      </c>
      <c r="C27" s="2">
        <f t="shared" si="0"/>
        <v>10</v>
      </c>
      <c r="D27" s="15">
        <v>1481</v>
      </c>
      <c r="E27" s="15">
        <v>8158</v>
      </c>
    </row>
    <row r="28" spans="1:9" ht="15" customHeight="1" x14ac:dyDescent="0.25">
      <c r="A28" s="2">
        <v>2018</v>
      </c>
      <c r="B28" s="2">
        <v>2019</v>
      </c>
      <c r="C28" s="2">
        <f t="shared" si="0"/>
        <v>1</v>
      </c>
      <c r="D28" s="15">
        <v>4429</v>
      </c>
      <c r="E28" s="15">
        <v>28660</v>
      </c>
    </row>
    <row r="29" spans="1:9" ht="15" customHeight="1" x14ac:dyDescent="0.25">
      <c r="A29" s="2">
        <v>2018</v>
      </c>
      <c r="B29" s="2">
        <v>2020</v>
      </c>
      <c r="C29" s="2">
        <f t="shared" si="0"/>
        <v>2</v>
      </c>
      <c r="D29" s="15">
        <v>6243</v>
      </c>
      <c r="E29" s="15">
        <v>37247</v>
      </c>
    </row>
    <row r="30" spans="1:9" ht="15" customHeight="1" x14ac:dyDescent="0.25">
      <c r="A30" s="2">
        <v>2018</v>
      </c>
      <c r="B30" s="2">
        <v>2021</v>
      </c>
      <c r="C30" s="2">
        <f t="shared" si="0"/>
        <v>3</v>
      </c>
      <c r="D30" s="15">
        <v>7340</v>
      </c>
      <c r="E30" s="15">
        <v>44134</v>
      </c>
    </row>
    <row r="31" spans="1:9" ht="15" customHeight="1" x14ac:dyDescent="0.25">
      <c r="A31" s="2">
        <v>2018</v>
      </c>
      <c r="B31" s="2">
        <v>2022</v>
      </c>
      <c r="C31" s="2">
        <f t="shared" si="0"/>
        <v>4</v>
      </c>
      <c r="D31" s="15">
        <v>5618</v>
      </c>
      <c r="E31" s="15">
        <v>34081</v>
      </c>
    </row>
    <row r="32" spans="1:9" ht="15" customHeight="1" x14ac:dyDescent="0.25">
      <c r="A32" s="2">
        <v>2018</v>
      </c>
      <c r="B32" s="2">
        <v>2023</v>
      </c>
      <c r="C32" s="2">
        <f t="shared" si="0"/>
        <v>5</v>
      </c>
      <c r="D32" s="15">
        <v>4544</v>
      </c>
      <c r="E32" s="15">
        <v>27361</v>
      </c>
    </row>
    <row r="33" spans="1:5" ht="15" customHeight="1" x14ac:dyDescent="0.25">
      <c r="A33" s="2">
        <v>2018</v>
      </c>
      <c r="B33" s="2">
        <v>2024</v>
      </c>
      <c r="C33" s="2">
        <f t="shared" si="0"/>
        <v>6</v>
      </c>
      <c r="D33" s="15">
        <v>4180</v>
      </c>
      <c r="E33" s="15">
        <v>22504</v>
      </c>
    </row>
    <row r="34" spans="1:5" ht="15" customHeight="1" x14ac:dyDescent="0.25">
      <c r="A34" s="2">
        <v>2018</v>
      </c>
      <c r="B34" s="2">
        <v>2025</v>
      </c>
      <c r="C34" s="2">
        <f t="shared" si="0"/>
        <v>7</v>
      </c>
      <c r="D34" s="15">
        <v>2057</v>
      </c>
      <c r="E34" s="15">
        <v>12329</v>
      </c>
    </row>
    <row r="35" spans="1:5" ht="15" customHeight="1" x14ac:dyDescent="0.25">
      <c r="A35" s="2">
        <v>2018</v>
      </c>
      <c r="B35" s="2">
        <v>2026</v>
      </c>
      <c r="C35" s="2">
        <f t="shared" si="0"/>
        <v>8</v>
      </c>
      <c r="D35" s="15">
        <v>1054</v>
      </c>
      <c r="E35" s="15">
        <v>6295</v>
      </c>
    </row>
    <row r="36" spans="1:5" ht="15" customHeight="1" x14ac:dyDescent="0.25">
      <c r="A36" s="2">
        <v>2018</v>
      </c>
      <c r="B36" s="2">
        <v>2027</v>
      </c>
      <c r="C36" s="2">
        <f t="shared" si="0"/>
        <v>9</v>
      </c>
      <c r="D36" s="15">
        <v>848</v>
      </c>
      <c r="E36" s="15">
        <v>5790</v>
      </c>
    </row>
    <row r="37" spans="1:5" ht="15" customHeight="1" x14ac:dyDescent="0.25">
      <c r="A37" s="2">
        <v>2018</v>
      </c>
      <c r="B37" s="2">
        <v>2028</v>
      </c>
      <c r="C37" s="2">
        <f t="shared" si="0"/>
        <v>10</v>
      </c>
      <c r="D37" s="15">
        <v>1860</v>
      </c>
      <c r="E37" s="15">
        <v>9891</v>
      </c>
    </row>
    <row r="38" spans="1:5" ht="15" customHeight="1" x14ac:dyDescent="0.25">
      <c r="A38" s="2">
        <v>2019</v>
      </c>
      <c r="B38" s="2">
        <v>2020</v>
      </c>
      <c r="C38" s="2">
        <f t="shared" si="0"/>
        <v>1</v>
      </c>
      <c r="D38" s="15">
        <v>5660</v>
      </c>
      <c r="E38" s="15">
        <v>36530</v>
      </c>
    </row>
    <row r="39" spans="1:5" ht="15" customHeight="1" x14ac:dyDescent="0.25">
      <c r="A39" s="2">
        <v>2019</v>
      </c>
      <c r="B39" s="2">
        <v>2021</v>
      </c>
      <c r="C39" s="2">
        <f t="shared" si="0"/>
        <v>2</v>
      </c>
      <c r="D39" s="15">
        <v>7590</v>
      </c>
      <c r="E39" s="15">
        <v>48814</v>
      </c>
    </row>
    <row r="40" spans="1:5" ht="15" customHeight="1" x14ac:dyDescent="0.25">
      <c r="A40" s="2">
        <v>2019</v>
      </c>
      <c r="B40" s="2">
        <v>2022</v>
      </c>
      <c r="C40" s="2">
        <f t="shared" ref="C40:C71" si="3">B40-A40</f>
        <v>3</v>
      </c>
      <c r="D40" s="15">
        <v>7305</v>
      </c>
      <c r="E40" s="15">
        <v>43535</v>
      </c>
    </row>
    <row r="41" spans="1:5" ht="15" customHeight="1" x14ac:dyDescent="0.25">
      <c r="A41" s="2">
        <v>2019</v>
      </c>
      <c r="B41" s="2">
        <v>2023</v>
      </c>
      <c r="C41" s="2">
        <f t="shared" si="3"/>
        <v>4</v>
      </c>
      <c r="D41" s="15">
        <v>4649</v>
      </c>
      <c r="E41" s="15">
        <v>29694</v>
      </c>
    </row>
    <row r="42" spans="1:5" ht="15" customHeight="1" x14ac:dyDescent="0.25">
      <c r="A42" s="2">
        <v>2019</v>
      </c>
      <c r="B42" s="2">
        <v>2024</v>
      </c>
      <c r="C42" s="2">
        <f t="shared" si="3"/>
        <v>5</v>
      </c>
      <c r="D42" s="15">
        <v>5882</v>
      </c>
      <c r="E42" s="15">
        <v>36426</v>
      </c>
    </row>
    <row r="43" spans="1:5" ht="15" customHeight="1" x14ac:dyDescent="0.25">
      <c r="A43" s="2">
        <v>2019</v>
      </c>
      <c r="B43" s="2">
        <v>2025</v>
      </c>
      <c r="C43" s="2">
        <f t="shared" si="3"/>
        <v>6</v>
      </c>
      <c r="D43" s="15">
        <v>3264</v>
      </c>
      <c r="E43" s="15">
        <v>18555</v>
      </c>
    </row>
    <row r="44" spans="1:5" ht="15" customHeight="1" x14ac:dyDescent="0.25">
      <c r="A44" s="2">
        <v>2019</v>
      </c>
      <c r="B44" s="2">
        <v>2026</v>
      </c>
      <c r="C44" s="2">
        <f t="shared" si="3"/>
        <v>7</v>
      </c>
      <c r="D44" s="15">
        <v>1926</v>
      </c>
      <c r="E44" s="15">
        <v>12793</v>
      </c>
    </row>
    <row r="45" spans="1:5" ht="15" customHeight="1" x14ac:dyDescent="0.25">
      <c r="A45" s="2">
        <v>2019</v>
      </c>
      <c r="B45" s="2">
        <v>2027</v>
      </c>
      <c r="C45" s="2">
        <f t="shared" si="3"/>
        <v>8</v>
      </c>
      <c r="D45" s="15">
        <v>1305</v>
      </c>
      <c r="E45" s="15">
        <v>7676</v>
      </c>
    </row>
    <row r="46" spans="1:5" ht="15" customHeight="1" x14ac:dyDescent="0.25">
      <c r="A46" s="2">
        <v>2019</v>
      </c>
      <c r="B46" s="2">
        <v>2028</v>
      </c>
      <c r="C46" s="2">
        <f t="shared" si="3"/>
        <v>9</v>
      </c>
      <c r="D46" s="15">
        <v>1024</v>
      </c>
      <c r="E46" s="15">
        <v>5899</v>
      </c>
    </row>
    <row r="47" spans="1:5" ht="15" customHeight="1" x14ac:dyDescent="0.25">
      <c r="A47" s="2">
        <v>2019</v>
      </c>
      <c r="B47" s="2">
        <v>2029</v>
      </c>
      <c r="C47" s="2">
        <f t="shared" si="3"/>
        <v>10</v>
      </c>
      <c r="D47" s="15">
        <v>1664</v>
      </c>
      <c r="E47" s="15">
        <v>9467</v>
      </c>
    </row>
    <row r="48" spans="1:5" ht="15" customHeight="1" x14ac:dyDescent="0.25">
      <c r="A48" s="2">
        <v>2020</v>
      </c>
      <c r="B48" s="2">
        <v>2021</v>
      </c>
      <c r="C48" s="2">
        <f t="shared" si="3"/>
        <v>1</v>
      </c>
      <c r="D48" s="15">
        <v>6520</v>
      </c>
      <c r="E48" s="15">
        <v>43528</v>
      </c>
    </row>
    <row r="49" spans="1:5" ht="15" customHeight="1" x14ac:dyDescent="0.25">
      <c r="A49" s="2">
        <v>2020</v>
      </c>
      <c r="B49" s="2">
        <v>2022</v>
      </c>
      <c r="C49" s="2">
        <f t="shared" si="3"/>
        <v>2</v>
      </c>
      <c r="D49" s="15">
        <v>7368</v>
      </c>
      <c r="E49" s="15">
        <v>46418</v>
      </c>
    </row>
    <row r="50" spans="1:5" ht="15" customHeight="1" x14ac:dyDescent="0.25">
      <c r="A50" s="2">
        <v>2020</v>
      </c>
      <c r="B50" s="2">
        <v>2023</v>
      </c>
      <c r="C50" s="2">
        <f t="shared" si="3"/>
        <v>3</v>
      </c>
      <c r="D50" s="15">
        <v>6554</v>
      </c>
      <c r="E50" s="15">
        <v>41282</v>
      </c>
    </row>
    <row r="51" spans="1:5" ht="15" customHeight="1" x14ac:dyDescent="0.25">
      <c r="A51" s="2">
        <v>2020</v>
      </c>
      <c r="B51" s="2">
        <v>2024</v>
      </c>
      <c r="C51" s="2">
        <f t="shared" si="3"/>
        <v>4</v>
      </c>
      <c r="D51" s="15">
        <v>7106</v>
      </c>
      <c r="E51" s="15">
        <v>44575</v>
      </c>
    </row>
    <row r="52" spans="1:5" ht="15" customHeight="1" x14ac:dyDescent="0.25">
      <c r="A52" s="2">
        <v>2020</v>
      </c>
      <c r="B52" s="2">
        <v>2025</v>
      </c>
      <c r="C52" s="2">
        <f t="shared" si="3"/>
        <v>5</v>
      </c>
      <c r="D52" s="15">
        <v>5616</v>
      </c>
      <c r="E52" s="15">
        <v>37232</v>
      </c>
    </row>
    <row r="53" spans="1:5" ht="15" customHeight="1" x14ac:dyDescent="0.25">
      <c r="A53" s="2">
        <v>2020</v>
      </c>
      <c r="B53" s="2">
        <v>2026</v>
      </c>
      <c r="C53" s="2">
        <f t="shared" si="3"/>
        <v>6</v>
      </c>
      <c r="D53" s="15">
        <v>3805</v>
      </c>
      <c r="E53" s="15">
        <v>22858</v>
      </c>
    </row>
    <row r="54" spans="1:5" ht="15" customHeight="1" x14ac:dyDescent="0.25">
      <c r="A54" s="2">
        <v>2020</v>
      </c>
      <c r="B54" s="2">
        <v>2027</v>
      </c>
      <c r="C54" s="2">
        <f t="shared" si="3"/>
        <v>7</v>
      </c>
      <c r="D54" s="15">
        <v>2257</v>
      </c>
      <c r="E54" s="15">
        <v>16071</v>
      </c>
    </row>
    <row r="55" spans="1:5" ht="15" customHeight="1" x14ac:dyDescent="0.25">
      <c r="A55" s="2">
        <v>2020</v>
      </c>
      <c r="B55" s="2">
        <v>2028</v>
      </c>
      <c r="C55" s="2">
        <f t="shared" si="3"/>
        <v>8</v>
      </c>
      <c r="D55" s="15">
        <v>1525</v>
      </c>
      <c r="E55" s="15">
        <v>6900</v>
      </c>
    </row>
    <row r="56" spans="1:5" ht="15" customHeight="1" x14ac:dyDescent="0.25">
      <c r="A56" s="2">
        <v>2020</v>
      </c>
      <c r="B56" s="2">
        <v>2029</v>
      </c>
      <c r="C56" s="2">
        <f t="shared" si="3"/>
        <v>9</v>
      </c>
      <c r="D56" s="15">
        <v>1045</v>
      </c>
      <c r="E56" s="15">
        <v>6893</v>
      </c>
    </row>
    <row r="57" spans="1:5" ht="15" customHeight="1" x14ac:dyDescent="0.25">
      <c r="A57" s="2">
        <v>2020</v>
      </c>
      <c r="B57" s="2">
        <v>2030</v>
      </c>
      <c r="C57" s="2">
        <f t="shared" si="3"/>
        <v>10</v>
      </c>
      <c r="D57" s="15">
        <v>1196</v>
      </c>
      <c r="E57" s="15">
        <v>8602</v>
      </c>
    </row>
    <row r="58" spans="1:5" ht="15" customHeight="1" x14ac:dyDescent="0.25">
      <c r="A58" s="2">
        <v>2021</v>
      </c>
      <c r="B58" s="2">
        <v>2022</v>
      </c>
      <c r="C58" s="2">
        <f t="shared" si="3"/>
        <v>1</v>
      </c>
      <c r="D58" s="15">
        <v>6179</v>
      </c>
      <c r="E58" s="15">
        <v>42114</v>
      </c>
    </row>
    <row r="59" spans="1:5" ht="15" customHeight="1" x14ac:dyDescent="0.25">
      <c r="A59" s="2">
        <v>2021</v>
      </c>
      <c r="B59" s="2">
        <v>2023</v>
      </c>
      <c r="C59" s="2">
        <f t="shared" si="3"/>
        <v>2</v>
      </c>
      <c r="D59" s="15">
        <v>6927</v>
      </c>
      <c r="E59" s="15">
        <v>46174</v>
      </c>
    </row>
    <row r="60" spans="1:5" ht="15" customHeight="1" x14ac:dyDescent="0.25">
      <c r="A60" s="2">
        <v>2021</v>
      </c>
      <c r="B60" s="2">
        <v>2024</v>
      </c>
      <c r="C60" s="2">
        <f t="shared" si="3"/>
        <v>3</v>
      </c>
      <c r="D60" s="15">
        <v>7837</v>
      </c>
      <c r="E60" s="15">
        <v>52363</v>
      </c>
    </row>
    <row r="61" spans="1:5" ht="15" customHeight="1" x14ac:dyDescent="0.25">
      <c r="A61" s="2">
        <v>2021</v>
      </c>
      <c r="B61" s="2">
        <v>2025</v>
      </c>
      <c r="C61" s="2">
        <f t="shared" si="3"/>
        <v>4</v>
      </c>
      <c r="D61" s="15">
        <v>6348</v>
      </c>
      <c r="E61" s="15">
        <v>44412</v>
      </c>
    </row>
    <row r="62" spans="1:5" ht="15" customHeight="1" x14ac:dyDescent="0.25">
      <c r="A62" s="2">
        <v>2021</v>
      </c>
      <c r="B62" s="2">
        <v>2026</v>
      </c>
      <c r="C62" s="2">
        <f t="shared" si="3"/>
        <v>5</v>
      </c>
      <c r="D62" s="15">
        <v>7462</v>
      </c>
      <c r="E62" s="15">
        <v>52211</v>
      </c>
    </row>
    <row r="63" spans="1:5" ht="15" customHeight="1" x14ac:dyDescent="0.25">
      <c r="A63" s="2">
        <v>2021</v>
      </c>
      <c r="B63" s="2">
        <v>2027</v>
      </c>
      <c r="C63" s="2">
        <f t="shared" si="3"/>
        <v>6</v>
      </c>
      <c r="D63" s="15">
        <v>4635</v>
      </c>
      <c r="E63" s="15">
        <v>27410</v>
      </c>
    </row>
    <row r="64" spans="1:5" ht="15" customHeight="1" x14ac:dyDescent="0.25">
      <c r="A64" s="2">
        <v>2021</v>
      </c>
      <c r="B64" s="2">
        <v>2028</v>
      </c>
      <c r="C64" s="2">
        <f t="shared" si="3"/>
        <v>7</v>
      </c>
      <c r="D64" s="15">
        <v>2415</v>
      </c>
      <c r="E64" s="15">
        <v>16606</v>
      </c>
    </row>
    <row r="65" spans="1:5" ht="15" customHeight="1" x14ac:dyDescent="0.25">
      <c r="A65" s="2">
        <v>2021</v>
      </c>
      <c r="B65" s="2">
        <v>2029</v>
      </c>
      <c r="C65" s="2">
        <f t="shared" si="3"/>
        <v>8</v>
      </c>
      <c r="D65" s="15">
        <v>1880</v>
      </c>
      <c r="E65" s="15">
        <v>9947</v>
      </c>
    </row>
    <row r="66" spans="1:5" ht="15" customHeight="1" x14ac:dyDescent="0.25">
      <c r="A66" s="2">
        <v>2021</v>
      </c>
      <c r="B66" s="2">
        <v>2030</v>
      </c>
      <c r="C66" s="2">
        <f t="shared" si="3"/>
        <v>9</v>
      </c>
      <c r="D66" s="15">
        <v>600</v>
      </c>
      <c r="E66" s="15">
        <v>4799</v>
      </c>
    </row>
    <row r="67" spans="1:5" ht="15" customHeight="1" x14ac:dyDescent="0.25">
      <c r="A67" s="2">
        <v>2021</v>
      </c>
      <c r="B67" s="2">
        <v>2031</v>
      </c>
      <c r="C67" s="2">
        <f t="shared" si="3"/>
        <v>10</v>
      </c>
      <c r="D67" s="15">
        <v>2124</v>
      </c>
      <c r="E67" s="15">
        <v>11907</v>
      </c>
    </row>
    <row r="68" spans="1:5" ht="15" customHeight="1" x14ac:dyDescent="0.25">
      <c r="A68" s="2">
        <v>2022</v>
      </c>
      <c r="B68" s="2">
        <v>2023</v>
      </c>
      <c r="C68" s="2">
        <f t="shared" si="3"/>
        <v>1</v>
      </c>
      <c r="D68" s="15">
        <v>5299</v>
      </c>
      <c r="E68" s="15">
        <v>38289</v>
      </c>
    </row>
    <row r="69" spans="1:5" ht="15" customHeight="1" x14ac:dyDescent="0.25">
      <c r="A69" s="2">
        <v>2022</v>
      </c>
      <c r="B69" s="2">
        <v>2024</v>
      </c>
      <c r="C69" s="2">
        <f t="shared" si="3"/>
        <v>2</v>
      </c>
      <c r="D69" s="15">
        <v>7905</v>
      </c>
      <c r="E69" s="15">
        <v>55420</v>
      </c>
    </row>
    <row r="70" spans="1:5" ht="15" customHeight="1" x14ac:dyDescent="0.25">
      <c r="A70" s="2">
        <v>2022</v>
      </c>
      <c r="B70" s="2">
        <v>2025</v>
      </c>
      <c r="C70" s="2">
        <f t="shared" si="3"/>
        <v>3</v>
      </c>
      <c r="D70" s="15">
        <v>8073</v>
      </c>
      <c r="E70" s="15">
        <v>60176</v>
      </c>
    </row>
    <row r="71" spans="1:5" ht="15" customHeight="1" x14ac:dyDescent="0.25">
      <c r="A71" s="2">
        <v>2022</v>
      </c>
      <c r="B71" s="2">
        <v>2026</v>
      </c>
      <c r="C71" s="2">
        <f t="shared" si="3"/>
        <v>4</v>
      </c>
      <c r="D71" s="15">
        <v>8800</v>
      </c>
      <c r="E71" s="15">
        <v>67607</v>
      </c>
    </row>
    <row r="72" spans="1:5" ht="15" customHeight="1" x14ac:dyDescent="0.25">
      <c r="A72" s="2">
        <v>2022</v>
      </c>
      <c r="B72" s="2">
        <v>2027</v>
      </c>
      <c r="C72" s="2">
        <f t="shared" ref="C72:C103" si="4">B72-A72</f>
        <v>5</v>
      </c>
      <c r="D72" s="15">
        <v>8461</v>
      </c>
      <c r="E72" s="15">
        <v>66376</v>
      </c>
    </row>
    <row r="73" spans="1:5" ht="15" customHeight="1" x14ac:dyDescent="0.25">
      <c r="A73" s="2">
        <v>2022</v>
      </c>
      <c r="B73" s="2">
        <v>2028</v>
      </c>
      <c r="C73" s="2">
        <f t="shared" si="4"/>
        <v>6</v>
      </c>
      <c r="D73" s="15">
        <v>3728</v>
      </c>
      <c r="E73" s="15">
        <v>25752</v>
      </c>
    </row>
    <row r="74" spans="1:5" ht="15" customHeight="1" x14ac:dyDescent="0.25">
      <c r="A74" s="2">
        <v>2022</v>
      </c>
      <c r="B74" s="2">
        <v>2029</v>
      </c>
      <c r="C74" s="2">
        <f t="shared" si="4"/>
        <v>7</v>
      </c>
      <c r="D74" s="15">
        <v>2695</v>
      </c>
      <c r="E74" s="15">
        <v>19518</v>
      </c>
    </row>
    <row r="75" spans="1:5" ht="15" customHeight="1" x14ac:dyDescent="0.25">
      <c r="A75" s="2">
        <v>2022</v>
      </c>
      <c r="B75" s="2">
        <v>2030</v>
      </c>
      <c r="C75" s="2">
        <f t="shared" si="4"/>
        <v>8</v>
      </c>
      <c r="D75" s="15">
        <v>1592</v>
      </c>
      <c r="E75" s="15">
        <v>8779</v>
      </c>
    </row>
    <row r="76" spans="1:5" ht="15" customHeight="1" x14ac:dyDescent="0.25">
      <c r="A76" s="2">
        <v>2022</v>
      </c>
      <c r="B76" s="2">
        <v>2031</v>
      </c>
      <c r="C76" s="2">
        <f t="shared" si="4"/>
        <v>9</v>
      </c>
      <c r="D76" s="15">
        <v>934</v>
      </c>
      <c r="E76" s="15">
        <v>8559</v>
      </c>
    </row>
    <row r="77" spans="1:5" ht="15" customHeight="1" x14ac:dyDescent="0.25">
      <c r="A77" s="2">
        <v>2022</v>
      </c>
      <c r="B77" s="2">
        <v>2032</v>
      </c>
      <c r="C77" s="2">
        <f t="shared" si="4"/>
        <v>10</v>
      </c>
      <c r="D77" s="15">
        <v>3859</v>
      </c>
      <c r="E77" s="15">
        <v>20602</v>
      </c>
    </row>
    <row r="78" spans="1:5" ht="15" customHeight="1" x14ac:dyDescent="0.25">
      <c r="A78" s="2">
        <v>2023</v>
      </c>
      <c r="B78" s="2">
        <v>2024</v>
      </c>
      <c r="C78" s="2">
        <f t="shared" si="4"/>
        <v>1</v>
      </c>
      <c r="D78" s="15">
        <v>5977</v>
      </c>
      <c r="E78" s="15">
        <v>45654</v>
      </c>
    </row>
    <row r="79" spans="1:5" ht="15" customHeight="1" x14ac:dyDescent="0.25">
      <c r="A79" s="2">
        <v>2023</v>
      </c>
      <c r="B79" s="2">
        <v>2025</v>
      </c>
      <c r="C79" s="2">
        <f t="shared" si="4"/>
        <v>2</v>
      </c>
      <c r="D79" s="15">
        <v>8189</v>
      </c>
      <c r="E79" s="15">
        <v>66880</v>
      </c>
    </row>
    <row r="80" spans="1:5" ht="15" customHeight="1" x14ac:dyDescent="0.25">
      <c r="A80" s="2">
        <v>2023</v>
      </c>
      <c r="B80" s="2">
        <v>2026</v>
      </c>
      <c r="C80" s="2">
        <f t="shared" si="4"/>
        <v>3</v>
      </c>
      <c r="D80" s="15">
        <v>10014</v>
      </c>
      <c r="E80" s="15">
        <v>81637</v>
      </c>
    </row>
    <row r="81" spans="1:5" ht="15" customHeight="1" x14ac:dyDescent="0.25">
      <c r="A81" s="2">
        <v>2023</v>
      </c>
      <c r="B81" s="2">
        <v>2027</v>
      </c>
      <c r="C81" s="2">
        <f t="shared" si="4"/>
        <v>4</v>
      </c>
      <c r="D81" s="15">
        <v>9127</v>
      </c>
      <c r="E81" s="15">
        <v>75052</v>
      </c>
    </row>
    <row r="82" spans="1:5" ht="15" customHeight="1" x14ac:dyDescent="0.25">
      <c r="A82" s="2">
        <v>2023</v>
      </c>
      <c r="B82" s="2">
        <v>2028</v>
      </c>
      <c r="C82" s="2">
        <f t="shared" si="4"/>
        <v>5</v>
      </c>
      <c r="D82" s="15">
        <v>6976</v>
      </c>
      <c r="E82" s="15">
        <v>57923</v>
      </c>
    </row>
    <row r="83" spans="1:5" ht="15" customHeight="1" x14ac:dyDescent="0.25">
      <c r="A83" s="2">
        <v>2023</v>
      </c>
      <c r="B83" s="2">
        <v>2029</v>
      </c>
      <c r="C83" s="2">
        <f t="shared" si="4"/>
        <v>6</v>
      </c>
      <c r="D83" s="15">
        <v>5214</v>
      </c>
      <c r="E83" s="15">
        <v>34830</v>
      </c>
    </row>
    <row r="84" spans="1:5" ht="15" customHeight="1" x14ac:dyDescent="0.25">
      <c r="A84" s="2">
        <v>2023</v>
      </c>
      <c r="B84" s="2">
        <v>2030</v>
      </c>
      <c r="C84" s="2">
        <f t="shared" si="4"/>
        <v>7</v>
      </c>
      <c r="D84" s="15">
        <v>2519</v>
      </c>
      <c r="E84" s="15">
        <v>20501</v>
      </c>
    </row>
    <row r="85" spans="1:5" ht="15" customHeight="1" x14ac:dyDescent="0.25">
      <c r="A85" s="2">
        <v>2023</v>
      </c>
      <c r="B85" s="2">
        <v>2031</v>
      </c>
      <c r="C85" s="2">
        <f t="shared" si="4"/>
        <v>8</v>
      </c>
      <c r="D85" s="15">
        <v>1315</v>
      </c>
      <c r="E85" s="15">
        <v>11447</v>
      </c>
    </row>
    <row r="86" spans="1:5" ht="15" customHeight="1" x14ac:dyDescent="0.25">
      <c r="A86" s="2">
        <v>2023</v>
      </c>
      <c r="B86" s="2">
        <v>2032</v>
      </c>
      <c r="C86" s="2">
        <f t="shared" si="4"/>
        <v>9</v>
      </c>
      <c r="D86" s="15">
        <v>1738</v>
      </c>
      <c r="E86" s="15">
        <v>13261</v>
      </c>
    </row>
    <row r="87" spans="1:5" ht="15" customHeight="1" x14ac:dyDescent="0.25">
      <c r="A87" s="2">
        <v>2023</v>
      </c>
      <c r="B87" s="2">
        <v>2033</v>
      </c>
      <c r="C87" s="2">
        <f t="shared" si="4"/>
        <v>10</v>
      </c>
      <c r="D87" s="15">
        <v>3374</v>
      </c>
      <c r="E87" s="15">
        <v>27737</v>
      </c>
    </row>
    <row r="88" spans="1:5" ht="15" customHeight="1" x14ac:dyDescent="0.25">
      <c r="A88" s="2">
        <v>2024</v>
      </c>
      <c r="B88" s="2">
        <v>2025</v>
      </c>
      <c r="C88" s="2">
        <f t="shared" si="4"/>
        <v>1</v>
      </c>
      <c r="D88" s="15">
        <v>5526</v>
      </c>
      <c r="E88" s="15">
        <v>50843</v>
      </c>
    </row>
    <row r="89" spans="1:5" ht="15" customHeight="1" x14ac:dyDescent="0.25">
      <c r="A89" s="2">
        <v>2024</v>
      </c>
      <c r="B89" s="2">
        <v>2026</v>
      </c>
      <c r="C89" s="2">
        <f t="shared" si="4"/>
        <v>2</v>
      </c>
      <c r="D89" s="15">
        <v>10178</v>
      </c>
      <c r="E89" s="15">
        <v>85709</v>
      </c>
    </row>
    <row r="90" spans="1:5" ht="15" customHeight="1" x14ac:dyDescent="0.25">
      <c r="A90" s="2">
        <v>2024</v>
      </c>
      <c r="B90" s="2">
        <v>2027</v>
      </c>
      <c r="C90" s="2">
        <f t="shared" si="4"/>
        <v>3</v>
      </c>
      <c r="D90" s="15">
        <v>10392</v>
      </c>
      <c r="E90" s="15">
        <v>91190</v>
      </c>
    </row>
    <row r="91" spans="1:5" ht="15" customHeight="1" x14ac:dyDescent="0.25">
      <c r="A91" s="2">
        <v>2024</v>
      </c>
      <c r="B91" s="2">
        <v>2028</v>
      </c>
      <c r="C91" s="2">
        <f t="shared" si="4"/>
        <v>4</v>
      </c>
      <c r="D91" s="15">
        <v>8031</v>
      </c>
      <c r="E91" s="15">
        <v>72141</v>
      </c>
    </row>
    <row r="92" spans="1:5" ht="15" customHeight="1" x14ac:dyDescent="0.25">
      <c r="A92" s="2">
        <v>2024</v>
      </c>
      <c r="B92" s="2">
        <v>2029</v>
      </c>
      <c r="C92" s="2">
        <f t="shared" si="4"/>
        <v>5</v>
      </c>
      <c r="D92" s="15">
        <v>7915</v>
      </c>
      <c r="E92" s="15">
        <v>71009</v>
      </c>
    </row>
    <row r="93" spans="1:5" ht="15" customHeight="1" x14ac:dyDescent="0.25">
      <c r="A93" s="2">
        <v>2024</v>
      </c>
      <c r="B93" s="2">
        <v>2030</v>
      </c>
      <c r="C93" s="2">
        <f t="shared" si="4"/>
        <v>6</v>
      </c>
      <c r="D93" s="15">
        <v>5735</v>
      </c>
      <c r="E93" s="15">
        <v>47574</v>
      </c>
    </row>
    <row r="94" spans="1:5" ht="15" customHeight="1" x14ac:dyDescent="0.25">
      <c r="A94" s="2">
        <v>2024</v>
      </c>
      <c r="B94" s="2">
        <v>2031</v>
      </c>
      <c r="C94" s="2">
        <f t="shared" si="4"/>
        <v>7</v>
      </c>
      <c r="D94" s="15">
        <v>2670</v>
      </c>
      <c r="E94" s="15">
        <v>25944</v>
      </c>
    </row>
    <row r="95" spans="1:5" ht="15" customHeight="1" x14ac:dyDescent="0.25">
      <c r="A95" s="2">
        <v>2024</v>
      </c>
      <c r="B95" s="2">
        <v>2032</v>
      </c>
      <c r="C95" s="2">
        <f t="shared" si="4"/>
        <v>8</v>
      </c>
      <c r="D95" s="15">
        <v>2227</v>
      </c>
      <c r="E95" s="15">
        <v>17342</v>
      </c>
    </row>
    <row r="96" spans="1:5" ht="15" customHeight="1" x14ac:dyDescent="0.25">
      <c r="A96" s="2">
        <v>2024</v>
      </c>
      <c r="B96" s="2">
        <v>2033</v>
      </c>
      <c r="C96" s="2">
        <f t="shared" si="4"/>
        <v>9</v>
      </c>
      <c r="D96" s="15">
        <v>2290</v>
      </c>
      <c r="E96" s="15">
        <v>21216</v>
      </c>
    </row>
    <row r="97" spans="1:5" ht="15" customHeight="1" x14ac:dyDescent="0.25">
      <c r="A97" s="2">
        <v>2024</v>
      </c>
      <c r="B97" s="2">
        <v>2034</v>
      </c>
      <c r="C97" s="2">
        <f t="shared" si="4"/>
        <v>10</v>
      </c>
      <c r="D97" s="15">
        <v>2325</v>
      </c>
      <c r="E97" s="15">
        <v>22447</v>
      </c>
    </row>
    <row r="98" spans="1:5" ht="15" customHeight="1" x14ac:dyDescent="0.25">
      <c r="A98" s="2">
        <v>2025</v>
      </c>
      <c r="B98" s="2">
        <v>2026</v>
      </c>
      <c r="C98" s="2">
        <f t="shared" si="4"/>
        <v>1</v>
      </c>
      <c r="D98" s="15">
        <v>8134</v>
      </c>
      <c r="E98" s="15">
        <v>73434</v>
      </c>
    </row>
    <row r="99" spans="1:5" ht="15" customHeight="1" x14ac:dyDescent="0.25">
      <c r="A99" s="2">
        <v>2025</v>
      </c>
      <c r="B99" s="2">
        <v>2027</v>
      </c>
      <c r="C99" s="2">
        <f t="shared" si="4"/>
        <v>2</v>
      </c>
      <c r="D99" s="15">
        <v>10338</v>
      </c>
      <c r="E99" s="15">
        <v>95930</v>
      </c>
    </row>
    <row r="100" spans="1:5" ht="15" customHeight="1" x14ac:dyDescent="0.25">
      <c r="A100" s="2">
        <v>2025</v>
      </c>
      <c r="B100" s="2">
        <v>2028</v>
      </c>
      <c r="C100" s="2">
        <f t="shared" si="4"/>
        <v>3</v>
      </c>
      <c r="D100" s="15">
        <v>9310</v>
      </c>
      <c r="E100" s="15">
        <v>91046</v>
      </c>
    </row>
    <row r="101" spans="1:5" ht="15" customHeight="1" x14ac:dyDescent="0.25">
      <c r="A101" s="2">
        <v>2025</v>
      </c>
      <c r="B101" s="2">
        <v>2029</v>
      </c>
      <c r="C101" s="2">
        <f t="shared" si="4"/>
        <v>4</v>
      </c>
      <c r="D101" s="15">
        <v>8885</v>
      </c>
      <c r="E101" s="15">
        <v>83768</v>
      </c>
    </row>
    <row r="102" spans="1:5" ht="15" customHeight="1" x14ac:dyDescent="0.25">
      <c r="A102" s="2">
        <v>2025</v>
      </c>
      <c r="B102" s="2">
        <v>2030</v>
      </c>
      <c r="C102" s="2">
        <f t="shared" si="4"/>
        <v>5</v>
      </c>
      <c r="D102" s="15">
        <v>8353</v>
      </c>
      <c r="E102" s="15">
        <v>80478</v>
      </c>
    </row>
    <row r="103" spans="1:5" ht="15" customHeight="1" x14ac:dyDescent="0.25">
      <c r="A103" s="2">
        <v>2025</v>
      </c>
      <c r="B103" s="2">
        <v>2031</v>
      </c>
      <c r="C103" s="2">
        <f t="shared" si="4"/>
        <v>6</v>
      </c>
      <c r="D103" s="15">
        <v>4904</v>
      </c>
      <c r="E103" s="15">
        <v>46548</v>
      </c>
    </row>
    <row r="104" spans="1:5" ht="15" customHeight="1" x14ac:dyDescent="0.25">
      <c r="A104" s="2">
        <v>2025</v>
      </c>
      <c r="B104" s="2">
        <v>2032</v>
      </c>
      <c r="C104" s="2">
        <f t="shared" ref="C104:C135" si="5">B104-A104</f>
        <v>7</v>
      </c>
      <c r="D104" s="15">
        <v>3412</v>
      </c>
      <c r="E104" s="15">
        <v>26382</v>
      </c>
    </row>
    <row r="105" spans="1:5" ht="15" customHeight="1" x14ac:dyDescent="0.25">
      <c r="A105" s="2">
        <v>2025</v>
      </c>
      <c r="B105" s="2">
        <v>2033</v>
      </c>
      <c r="C105" s="2">
        <f t="shared" si="5"/>
        <v>8</v>
      </c>
      <c r="D105" s="15">
        <v>2581</v>
      </c>
      <c r="E105" s="15">
        <v>24315</v>
      </c>
    </row>
    <row r="106" spans="1:5" ht="15" customHeight="1" x14ac:dyDescent="0.25">
      <c r="A106" s="2">
        <v>2025</v>
      </c>
      <c r="B106" s="2">
        <v>2034</v>
      </c>
      <c r="C106" s="2">
        <f t="shared" si="5"/>
        <v>9</v>
      </c>
      <c r="D106" s="15">
        <v>1132</v>
      </c>
      <c r="E106" s="15">
        <v>10666</v>
      </c>
    </row>
    <row r="107" spans="1:5" ht="15" customHeight="1" x14ac:dyDescent="0.25">
      <c r="A107" s="2">
        <v>2025</v>
      </c>
      <c r="B107" s="2">
        <v>2035</v>
      </c>
      <c r="C107" s="2">
        <f t="shared" si="5"/>
        <v>10</v>
      </c>
      <c r="D107" s="15">
        <v>2638</v>
      </c>
      <c r="E107" s="15">
        <v>26662</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17"/>
  <sheetViews>
    <sheetView zoomScaleNormal="100" workbookViewId="0"/>
  </sheetViews>
  <sheetFormatPr defaultColWidth="8.7109375" defaultRowHeight="15" x14ac:dyDescent="0.25"/>
  <cols>
    <col min="1" max="1" width="11" customWidth="1"/>
    <col min="2" max="2" width="15" customWidth="1"/>
    <col min="3" max="3" width="10" customWidth="1"/>
    <col min="4" max="4" width="22" customWidth="1"/>
    <col min="5" max="5" width="30" customWidth="1"/>
    <col min="7" max="7" width="11" customWidth="1"/>
    <col min="8" max="8" width="16" customWidth="1"/>
    <col min="9" max="9" width="18" customWidth="1"/>
  </cols>
  <sheetData>
    <row r="1" spans="1:9" ht="15" customHeight="1" x14ac:dyDescent="0.25">
      <c r="A1" s="1" t="s">
        <v>514</v>
      </c>
    </row>
    <row r="2" spans="1:9" ht="15" customHeight="1" x14ac:dyDescent="0.25">
      <c r="A2" s="2" t="s">
        <v>515</v>
      </c>
    </row>
    <row r="3" spans="1:9" ht="15" customHeight="1" x14ac:dyDescent="0.25">
      <c r="A3" s="2" t="s">
        <v>516</v>
      </c>
    </row>
    <row r="4" spans="1:9" ht="15" customHeight="1" x14ac:dyDescent="0.25">
      <c r="A4" s="2" t="s">
        <v>517</v>
      </c>
    </row>
    <row r="7" spans="1:9" ht="30" customHeight="1" x14ac:dyDescent="0.25">
      <c r="A7" s="14" t="s">
        <v>468</v>
      </c>
      <c r="B7" s="14" t="s">
        <v>508</v>
      </c>
      <c r="C7" s="14" t="s">
        <v>509</v>
      </c>
      <c r="D7" s="14" t="s">
        <v>510</v>
      </c>
      <c r="E7" s="14" t="s">
        <v>511</v>
      </c>
      <c r="G7" s="14" t="s">
        <v>468</v>
      </c>
      <c r="H7" s="14" t="s">
        <v>512</v>
      </c>
      <c r="I7" s="14" t="s">
        <v>513</v>
      </c>
    </row>
    <row r="8" spans="1:9" ht="15" customHeight="1" x14ac:dyDescent="0.25">
      <c r="A8" s="2">
        <v>2016</v>
      </c>
      <c r="B8" s="2">
        <v>2017</v>
      </c>
      <c r="C8" s="2">
        <f t="shared" ref="C8:C39" si="0">B8-A8</f>
        <v>1</v>
      </c>
      <c r="D8" s="15">
        <v>4114.7700000000004</v>
      </c>
      <c r="E8" s="15">
        <v>24030</v>
      </c>
      <c r="G8" s="2">
        <v>2016</v>
      </c>
      <c r="H8" s="16">
        <f t="shared" ref="H8:H17" si="1">SUMPRODUCT(($A$8:$A$117=G8)*$C$8:$C$117*$D$8:$D$117)/SUMPRODUCT(($A$8:$A$117=G8)*$D$8:$D$117)</f>
        <v>4.9123277393774076</v>
      </c>
      <c r="I8" s="16">
        <f t="shared" ref="I8:I17" si="2">SUMPRODUCT(($A$8:$A$117=G8)*$C$8:$C$117*$E$8:$E$117)/SUMPRODUCT(($A$8:$A$117=G8)*$E$8:$E$117)</f>
        <v>4.7987906524057529</v>
      </c>
    </row>
    <row r="9" spans="1:9" ht="15" customHeight="1" x14ac:dyDescent="0.25">
      <c r="A9" s="2">
        <v>2016</v>
      </c>
      <c r="B9" s="2">
        <v>2018</v>
      </c>
      <c r="C9" s="2">
        <f t="shared" si="0"/>
        <v>2</v>
      </c>
      <c r="D9" s="15">
        <v>9479.5789999999997</v>
      </c>
      <c r="E9" s="15">
        <v>46825</v>
      </c>
      <c r="G9" s="2">
        <v>2017</v>
      </c>
      <c r="H9" s="16">
        <f t="shared" si="1"/>
        <v>4.8079508237324458</v>
      </c>
      <c r="I9" s="16">
        <f t="shared" si="2"/>
        <v>4.7349328347874255</v>
      </c>
    </row>
    <row r="10" spans="1:9" ht="15" customHeight="1" x14ac:dyDescent="0.25">
      <c r="A10" s="2">
        <v>2016</v>
      </c>
      <c r="B10" s="2">
        <v>2019</v>
      </c>
      <c r="C10" s="2">
        <f t="shared" si="0"/>
        <v>3</v>
      </c>
      <c r="D10" s="15">
        <v>9159.777</v>
      </c>
      <c r="E10" s="15">
        <v>46024</v>
      </c>
      <c r="G10" s="2">
        <v>2018</v>
      </c>
      <c r="H10" s="16">
        <f t="shared" si="1"/>
        <v>5.0869947189464879</v>
      </c>
      <c r="I10" s="16">
        <f t="shared" si="2"/>
        <v>5.0329900165773909</v>
      </c>
    </row>
    <row r="11" spans="1:9" ht="15" customHeight="1" x14ac:dyDescent="0.25">
      <c r="A11" s="2">
        <v>2016</v>
      </c>
      <c r="B11" s="2">
        <v>2020</v>
      </c>
      <c r="C11" s="2">
        <f t="shared" si="0"/>
        <v>4</v>
      </c>
      <c r="D11" s="15">
        <v>7652.8819999999996</v>
      </c>
      <c r="E11" s="15">
        <v>37714</v>
      </c>
      <c r="G11" s="2">
        <v>2019</v>
      </c>
      <c r="H11" s="16">
        <f t="shared" si="1"/>
        <v>5.268122455756548</v>
      </c>
      <c r="I11" s="16">
        <f t="shared" si="2"/>
        <v>5.128238228530468</v>
      </c>
    </row>
    <row r="12" spans="1:9" ht="15" customHeight="1" x14ac:dyDescent="0.25">
      <c r="A12" s="2">
        <v>2016</v>
      </c>
      <c r="B12" s="2">
        <v>2021</v>
      </c>
      <c r="C12" s="2">
        <f t="shared" si="0"/>
        <v>5</v>
      </c>
      <c r="D12" s="15">
        <v>9205.7459999999992</v>
      </c>
      <c r="E12" s="15">
        <v>43193</v>
      </c>
      <c r="G12" s="2">
        <v>2020</v>
      </c>
      <c r="H12" s="16">
        <f t="shared" si="1"/>
        <v>5.218821661923668</v>
      </c>
      <c r="I12" s="16">
        <f t="shared" si="2"/>
        <v>5.1726187547661802</v>
      </c>
    </row>
    <row r="13" spans="1:9" ht="15" customHeight="1" x14ac:dyDescent="0.25">
      <c r="A13" s="2">
        <v>2016</v>
      </c>
      <c r="B13" s="2">
        <v>2022</v>
      </c>
      <c r="C13" s="2">
        <f t="shared" si="0"/>
        <v>6</v>
      </c>
      <c r="D13" s="15">
        <v>4830.9769999999999</v>
      </c>
      <c r="E13" s="15">
        <v>22415</v>
      </c>
      <c r="G13" s="2">
        <v>2021</v>
      </c>
      <c r="H13" s="16">
        <f t="shared" si="1"/>
        <v>5.2246190663975138</v>
      </c>
      <c r="I13" s="16">
        <f t="shared" si="2"/>
        <v>5.2327953285723838</v>
      </c>
    </row>
    <row r="14" spans="1:9" ht="15" customHeight="1" x14ac:dyDescent="0.25">
      <c r="A14" s="2">
        <v>2016</v>
      </c>
      <c r="B14" s="2">
        <v>2023</v>
      </c>
      <c r="C14" s="2">
        <f t="shared" si="0"/>
        <v>7</v>
      </c>
      <c r="D14" s="15">
        <v>2491.433</v>
      </c>
      <c r="E14" s="15">
        <v>13682</v>
      </c>
      <c r="G14" s="2">
        <v>2022</v>
      </c>
      <c r="H14" s="16">
        <f t="shared" si="1"/>
        <v>5.316010726777936</v>
      </c>
      <c r="I14" s="16">
        <f t="shared" si="2"/>
        <v>5.2920841696143714</v>
      </c>
    </row>
    <row r="15" spans="1:9" ht="15" customHeight="1" x14ac:dyDescent="0.25">
      <c r="A15" s="2">
        <v>2016</v>
      </c>
      <c r="B15" s="2">
        <v>2024</v>
      </c>
      <c r="C15" s="2">
        <f t="shared" si="0"/>
        <v>8</v>
      </c>
      <c r="D15" s="15">
        <v>3016.4270000000001</v>
      </c>
      <c r="E15" s="15">
        <v>12845</v>
      </c>
      <c r="G15" s="2">
        <v>2023</v>
      </c>
      <c r="H15" s="16">
        <f t="shared" si="1"/>
        <v>5.306703827440943</v>
      </c>
      <c r="I15" s="16">
        <f t="shared" si="2"/>
        <v>5.2656525841945809</v>
      </c>
    </row>
    <row r="16" spans="1:9" ht="15" customHeight="1" x14ac:dyDescent="0.25">
      <c r="A16" s="2">
        <v>2016</v>
      </c>
      <c r="B16" s="2">
        <v>2025</v>
      </c>
      <c r="C16" s="2">
        <f t="shared" si="0"/>
        <v>9</v>
      </c>
      <c r="D16" s="15">
        <v>2798.7550000000001</v>
      </c>
      <c r="E16" s="15">
        <v>12946</v>
      </c>
      <c r="G16" s="2">
        <v>2024</v>
      </c>
      <c r="H16" s="16">
        <f t="shared" si="1"/>
        <v>5.285025175820075</v>
      </c>
      <c r="I16" s="16">
        <f t="shared" si="2"/>
        <v>5.2665495624452312</v>
      </c>
    </row>
    <row r="17" spans="1:9" ht="15" customHeight="1" x14ac:dyDescent="0.25">
      <c r="A17" s="2">
        <v>2016</v>
      </c>
      <c r="B17" s="2">
        <v>2026</v>
      </c>
      <c r="C17" s="2">
        <f t="shared" si="0"/>
        <v>10</v>
      </c>
      <c r="D17" s="15">
        <v>2742.7979999999998</v>
      </c>
      <c r="E17" s="15">
        <v>12454</v>
      </c>
      <c r="G17" s="2">
        <v>2025</v>
      </c>
      <c r="H17" s="16">
        <f t="shared" si="1"/>
        <v>5.1346185317416966</v>
      </c>
      <c r="I17" s="16">
        <f t="shared" si="2"/>
        <v>5.0364461236711975</v>
      </c>
    </row>
    <row r="18" spans="1:9" ht="15" customHeight="1" x14ac:dyDescent="0.25">
      <c r="A18" s="2">
        <v>2016</v>
      </c>
      <c r="B18" s="2">
        <v>2027</v>
      </c>
      <c r="C18" s="2">
        <f t="shared" si="0"/>
        <v>11</v>
      </c>
      <c r="D18" s="15">
        <v>3652.12</v>
      </c>
      <c r="E18" s="15">
        <v>17615</v>
      </c>
    </row>
    <row r="19" spans="1:9" ht="15" customHeight="1" x14ac:dyDescent="0.25">
      <c r="A19" s="2">
        <v>2017</v>
      </c>
      <c r="B19" s="2">
        <v>2018</v>
      </c>
      <c r="C19" s="2">
        <f t="shared" si="0"/>
        <v>1</v>
      </c>
      <c r="D19" s="15">
        <v>4919.99</v>
      </c>
      <c r="E19" s="15">
        <v>25924</v>
      </c>
    </row>
    <row r="20" spans="1:9" ht="15" customHeight="1" x14ac:dyDescent="0.25">
      <c r="A20" s="2">
        <v>2017</v>
      </c>
      <c r="B20" s="2">
        <v>2019</v>
      </c>
      <c r="C20" s="2">
        <f t="shared" si="0"/>
        <v>2</v>
      </c>
      <c r="D20" s="15">
        <v>8366.3179999999993</v>
      </c>
      <c r="E20" s="15">
        <v>44772</v>
      </c>
    </row>
    <row r="21" spans="1:9" ht="15" customHeight="1" x14ac:dyDescent="0.25">
      <c r="A21" s="2">
        <v>2017</v>
      </c>
      <c r="B21" s="2">
        <v>2020</v>
      </c>
      <c r="C21" s="2">
        <f t="shared" si="0"/>
        <v>3</v>
      </c>
      <c r="D21" s="15">
        <v>8145.2759999999998</v>
      </c>
      <c r="E21" s="15">
        <v>42315</v>
      </c>
    </row>
    <row r="22" spans="1:9" ht="15" customHeight="1" x14ac:dyDescent="0.25">
      <c r="A22" s="2">
        <v>2017</v>
      </c>
      <c r="B22" s="2">
        <v>2021</v>
      </c>
      <c r="C22" s="2">
        <f t="shared" si="0"/>
        <v>4</v>
      </c>
      <c r="D22" s="15">
        <v>9827.5329999999994</v>
      </c>
      <c r="E22" s="15">
        <v>48171</v>
      </c>
    </row>
    <row r="23" spans="1:9" ht="15" customHeight="1" x14ac:dyDescent="0.25">
      <c r="A23" s="2">
        <v>2017</v>
      </c>
      <c r="B23" s="2">
        <v>2022</v>
      </c>
      <c r="C23" s="2">
        <f t="shared" si="0"/>
        <v>5</v>
      </c>
      <c r="D23" s="15">
        <v>5902.4939999999997</v>
      </c>
      <c r="E23" s="15">
        <v>31308</v>
      </c>
    </row>
    <row r="24" spans="1:9" ht="15" customHeight="1" x14ac:dyDescent="0.25">
      <c r="A24" s="2">
        <v>2017</v>
      </c>
      <c r="B24" s="2">
        <v>2023</v>
      </c>
      <c r="C24" s="2">
        <f t="shared" si="0"/>
        <v>6</v>
      </c>
      <c r="D24" s="15">
        <v>5390.6279999999997</v>
      </c>
      <c r="E24" s="15">
        <v>26978</v>
      </c>
    </row>
    <row r="25" spans="1:9" ht="15" customHeight="1" x14ac:dyDescent="0.25">
      <c r="A25" s="2">
        <v>2017</v>
      </c>
      <c r="B25" s="2">
        <v>2024</v>
      </c>
      <c r="C25" s="2">
        <f t="shared" si="0"/>
        <v>7</v>
      </c>
      <c r="D25" s="15">
        <v>3378.0549999999998</v>
      </c>
      <c r="E25" s="15">
        <v>15925</v>
      </c>
    </row>
    <row r="26" spans="1:9" ht="15" customHeight="1" x14ac:dyDescent="0.25">
      <c r="A26" s="2">
        <v>2017</v>
      </c>
      <c r="B26" s="2">
        <v>2025</v>
      </c>
      <c r="C26" s="2">
        <f t="shared" si="0"/>
        <v>8</v>
      </c>
      <c r="D26" s="15">
        <v>2830.7260000000001</v>
      </c>
      <c r="E26" s="15">
        <v>13771</v>
      </c>
    </row>
    <row r="27" spans="1:9" ht="15" customHeight="1" x14ac:dyDescent="0.25">
      <c r="A27" s="2">
        <v>2017</v>
      </c>
      <c r="B27" s="2">
        <v>2026</v>
      </c>
      <c r="C27" s="2">
        <f t="shared" si="0"/>
        <v>9</v>
      </c>
      <c r="D27" s="15">
        <v>3289.38</v>
      </c>
      <c r="E27" s="15">
        <v>15072</v>
      </c>
    </row>
    <row r="28" spans="1:9" ht="15" customHeight="1" x14ac:dyDescent="0.25">
      <c r="A28" s="2">
        <v>2017</v>
      </c>
      <c r="B28" s="2">
        <v>2027</v>
      </c>
      <c r="C28" s="2">
        <f t="shared" si="0"/>
        <v>10</v>
      </c>
      <c r="D28" s="15">
        <v>2725.9879999999998</v>
      </c>
      <c r="E28" s="15">
        <v>13802</v>
      </c>
    </row>
    <row r="29" spans="1:9" ht="15" customHeight="1" x14ac:dyDescent="0.25">
      <c r="A29" s="2">
        <v>2017</v>
      </c>
      <c r="B29" s="2">
        <v>2028</v>
      </c>
      <c r="C29" s="2">
        <f t="shared" si="0"/>
        <v>11</v>
      </c>
      <c r="D29" s="15">
        <v>2091.5309999999999</v>
      </c>
      <c r="E29" s="15">
        <v>10802</v>
      </c>
    </row>
    <row r="30" spans="1:9" ht="15" customHeight="1" x14ac:dyDescent="0.25">
      <c r="A30" s="2">
        <v>2018</v>
      </c>
      <c r="B30" s="2">
        <v>2019</v>
      </c>
      <c r="C30" s="2">
        <f t="shared" si="0"/>
        <v>1</v>
      </c>
      <c r="D30" s="15">
        <v>4250.3159999999998</v>
      </c>
      <c r="E30" s="15">
        <v>21729</v>
      </c>
    </row>
    <row r="31" spans="1:9" ht="15" customHeight="1" x14ac:dyDescent="0.25">
      <c r="A31" s="2">
        <v>2018</v>
      </c>
      <c r="B31" s="2">
        <v>2020</v>
      </c>
      <c r="C31" s="2">
        <f t="shared" si="0"/>
        <v>2</v>
      </c>
      <c r="D31" s="15">
        <v>7290.84</v>
      </c>
      <c r="E31" s="15">
        <v>38731</v>
      </c>
    </row>
    <row r="32" spans="1:9" ht="15" customHeight="1" x14ac:dyDescent="0.25">
      <c r="A32" s="2">
        <v>2018</v>
      </c>
      <c r="B32" s="2">
        <v>2021</v>
      </c>
      <c r="C32" s="2">
        <f t="shared" si="0"/>
        <v>3</v>
      </c>
      <c r="D32" s="15">
        <v>10170.89</v>
      </c>
      <c r="E32" s="15">
        <v>51266</v>
      </c>
    </row>
    <row r="33" spans="1:5" ht="15" customHeight="1" x14ac:dyDescent="0.25">
      <c r="A33" s="2">
        <v>2018</v>
      </c>
      <c r="B33" s="2">
        <v>2022</v>
      </c>
      <c r="C33" s="2">
        <f t="shared" si="0"/>
        <v>4</v>
      </c>
      <c r="D33" s="15">
        <v>6363.1980000000003</v>
      </c>
      <c r="E33" s="15">
        <v>32996</v>
      </c>
    </row>
    <row r="34" spans="1:5" ht="15" customHeight="1" x14ac:dyDescent="0.25">
      <c r="A34" s="2">
        <v>2018</v>
      </c>
      <c r="B34" s="2">
        <v>2023</v>
      </c>
      <c r="C34" s="2">
        <f t="shared" si="0"/>
        <v>5</v>
      </c>
      <c r="D34" s="15">
        <v>7929.7049999999999</v>
      </c>
      <c r="E34" s="15">
        <v>40506</v>
      </c>
    </row>
    <row r="35" spans="1:5" ht="15" customHeight="1" x14ac:dyDescent="0.25">
      <c r="A35" s="2">
        <v>2018</v>
      </c>
      <c r="B35" s="2">
        <v>2024</v>
      </c>
      <c r="C35" s="2">
        <f t="shared" si="0"/>
        <v>6</v>
      </c>
      <c r="D35" s="15">
        <v>5973.4260000000004</v>
      </c>
      <c r="E35" s="15">
        <v>29181</v>
      </c>
    </row>
    <row r="36" spans="1:5" ht="15" customHeight="1" x14ac:dyDescent="0.25">
      <c r="A36" s="2">
        <v>2018</v>
      </c>
      <c r="B36" s="2">
        <v>2025</v>
      </c>
      <c r="C36" s="2">
        <f t="shared" si="0"/>
        <v>7</v>
      </c>
      <c r="D36" s="15">
        <v>4707.7449999999999</v>
      </c>
      <c r="E36" s="15">
        <v>22478</v>
      </c>
    </row>
    <row r="37" spans="1:5" ht="15" customHeight="1" x14ac:dyDescent="0.25">
      <c r="A37" s="2">
        <v>2018</v>
      </c>
      <c r="B37" s="2">
        <v>2026</v>
      </c>
      <c r="C37" s="2">
        <f t="shared" si="0"/>
        <v>8</v>
      </c>
      <c r="D37" s="15">
        <v>4086.19</v>
      </c>
      <c r="E37" s="15">
        <v>17432</v>
      </c>
    </row>
    <row r="38" spans="1:5" ht="15" customHeight="1" x14ac:dyDescent="0.25">
      <c r="A38" s="2">
        <v>2018</v>
      </c>
      <c r="B38" s="2">
        <v>2027</v>
      </c>
      <c r="C38" s="2">
        <f t="shared" si="0"/>
        <v>9</v>
      </c>
      <c r="D38" s="15">
        <v>2720.6019999999999</v>
      </c>
      <c r="E38" s="15">
        <v>13992</v>
      </c>
    </row>
    <row r="39" spans="1:5" ht="15" customHeight="1" x14ac:dyDescent="0.25">
      <c r="A39" s="2">
        <v>2018</v>
      </c>
      <c r="B39" s="2">
        <v>2028</v>
      </c>
      <c r="C39" s="2">
        <f t="shared" si="0"/>
        <v>10</v>
      </c>
      <c r="D39" s="15">
        <v>1765.4839999999999</v>
      </c>
      <c r="E39" s="15">
        <v>8445</v>
      </c>
    </row>
    <row r="40" spans="1:5" ht="15" customHeight="1" x14ac:dyDescent="0.25">
      <c r="A40" s="2">
        <v>2018</v>
      </c>
      <c r="B40" s="2">
        <v>2029</v>
      </c>
      <c r="C40" s="2">
        <f t="shared" ref="C40:C71" si="3">B40-A40</f>
        <v>11</v>
      </c>
      <c r="D40" s="15">
        <v>3894.5740000000001</v>
      </c>
      <c r="E40" s="15">
        <v>20637</v>
      </c>
    </row>
    <row r="41" spans="1:5" ht="15" customHeight="1" x14ac:dyDescent="0.25">
      <c r="A41" s="2">
        <v>2019</v>
      </c>
      <c r="B41" s="2">
        <v>2020</v>
      </c>
      <c r="C41" s="2">
        <f t="shared" si="3"/>
        <v>1</v>
      </c>
      <c r="D41" s="15">
        <v>3733.9740000000002</v>
      </c>
      <c r="E41" s="15">
        <v>21488</v>
      </c>
    </row>
    <row r="42" spans="1:5" ht="15" customHeight="1" x14ac:dyDescent="0.25">
      <c r="A42" s="2">
        <v>2019</v>
      </c>
      <c r="B42" s="2">
        <v>2021</v>
      </c>
      <c r="C42" s="2">
        <f t="shared" si="3"/>
        <v>2</v>
      </c>
      <c r="D42" s="15">
        <v>8982.48</v>
      </c>
      <c r="E42" s="15">
        <v>47644</v>
      </c>
    </row>
    <row r="43" spans="1:5" ht="15" customHeight="1" x14ac:dyDescent="0.25">
      <c r="A43" s="2">
        <v>2019</v>
      </c>
      <c r="B43" s="2">
        <v>2022</v>
      </c>
      <c r="C43" s="2">
        <f t="shared" si="3"/>
        <v>3</v>
      </c>
      <c r="D43" s="15">
        <v>7085.0050000000001</v>
      </c>
      <c r="E43" s="15">
        <v>38011</v>
      </c>
    </row>
    <row r="44" spans="1:5" ht="15" customHeight="1" x14ac:dyDescent="0.25">
      <c r="A44" s="2">
        <v>2019</v>
      </c>
      <c r="B44" s="2">
        <v>2023</v>
      </c>
      <c r="C44" s="2">
        <f t="shared" si="3"/>
        <v>4</v>
      </c>
      <c r="D44" s="15">
        <v>7244.183</v>
      </c>
      <c r="E44" s="15">
        <v>40306</v>
      </c>
    </row>
    <row r="45" spans="1:5" ht="15" customHeight="1" x14ac:dyDescent="0.25">
      <c r="A45" s="2">
        <v>2019</v>
      </c>
      <c r="B45" s="2">
        <v>2024</v>
      </c>
      <c r="C45" s="2">
        <f t="shared" si="3"/>
        <v>5</v>
      </c>
      <c r="D45" s="15">
        <v>6809.5439999999999</v>
      </c>
      <c r="E45" s="15">
        <v>40211</v>
      </c>
    </row>
    <row r="46" spans="1:5" ht="15" customHeight="1" x14ac:dyDescent="0.25">
      <c r="A46" s="2">
        <v>2019</v>
      </c>
      <c r="B46" s="2">
        <v>2025</v>
      </c>
      <c r="C46" s="2">
        <f t="shared" si="3"/>
        <v>6</v>
      </c>
      <c r="D46" s="15">
        <v>6521.982</v>
      </c>
      <c r="E46" s="15">
        <v>32917</v>
      </c>
    </row>
    <row r="47" spans="1:5" ht="15" customHeight="1" x14ac:dyDescent="0.25">
      <c r="A47" s="2">
        <v>2019</v>
      </c>
      <c r="B47" s="2">
        <v>2026</v>
      </c>
      <c r="C47" s="2">
        <f t="shared" si="3"/>
        <v>7</v>
      </c>
      <c r="D47" s="15">
        <v>4528.2460000000001</v>
      </c>
      <c r="E47" s="15">
        <v>20647</v>
      </c>
    </row>
    <row r="48" spans="1:5" ht="15" customHeight="1" x14ac:dyDescent="0.25">
      <c r="A48" s="2">
        <v>2019</v>
      </c>
      <c r="B48" s="2">
        <v>2027</v>
      </c>
      <c r="C48" s="2">
        <f t="shared" si="3"/>
        <v>8</v>
      </c>
      <c r="D48" s="15">
        <v>3612.848</v>
      </c>
      <c r="E48" s="15">
        <v>17748</v>
      </c>
    </row>
    <row r="49" spans="1:5" ht="15" customHeight="1" x14ac:dyDescent="0.25">
      <c r="A49" s="2">
        <v>2019</v>
      </c>
      <c r="B49" s="2">
        <v>2028</v>
      </c>
      <c r="C49" s="2">
        <f t="shared" si="3"/>
        <v>9</v>
      </c>
      <c r="D49" s="15">
        <v>1992.721</v>
      </c>
      <c r="E49" s="15">
        <v>9768</v>
      </c>
    </row>
    <row r="50" spans="1:5" ht="15" customHeight="1" x14ac:dyDescent="0.25">
      <c r="A50" s="2">
        <v>2019</v>
      </c>
      <c r="B50" s="2">
        <v>2029</v>
      </c>
      <c r="C50" s="2">
        <f t="shared" si="3"/>
        <v>10</v>
      </c>
      <c r="D50" s="15">
        <v>3509.422</v>
      </c>
      <c r="E50" s="15">
        <v>19192</v>
      </c>
    </row>
    <row r="51" spans="1:5" ht="15" customHeight="1" x14ac:dyDescent="0.25">
      <c r="A51" s="2">
        <v>2019</v>
      </c>
      <c r="B51" s="2">
        <v>2030</v>
      </c>
      <c r="C51" s="2">
        <f t="shared" si="3"/>
        <v>11</v>
      </c>
      <c r="D51" s="15">
        <v>4509.2730000000001</v>
      </c>
      <c r="E51" s="15">
        <v>20377</v>
      </c>
    </row>
    <row r="52" spans="1:5" ht="15" customHeight="1" x14ac:dyDescent="0.25">
      <c r="A52" s="2">
        <v>2020</v>
      </c>
      <c r="B52" s="2">
        <v>2021</v>
      </c>
      <c r="C52" s="2">
        <f t="shared" si="3"/>
        <v>1</v>
      </c>
      <c r="D52" s="15">
        <v>4579.2470000000003</v>
      </c>
      <c r="E52" s="15">
        <v>26031</v>
      </c>
    </row>
    <row r="53" spans="1:5" ht="15" customHeight="1" x14ac:dyDescent="0.25">
      <c r="A53" s="2">
        <v>2020</v>
      </c>
      <c r="B53" s="2">
        <v>2022</v>
      </c>
      <c r="C53" s="2">
        <f t="shared" si="3"/>
        <v>2</v>
      </c>
      <c r="D53" s="15">
        <v>8140.5919999999996</v>
      </c>
      <c r="E53" s="15">
        <v>45250</v>
      </c>
    </row>
    <row r="54" spans="1:5" ht="15" customHeight="1" x14ac:dyDescent="0.25">
      <c r="A54" s="2">
        <v>2020</v>
      </c>
      <c r="B54" s="2">
        <v>2023</v>
      </c>
      <c r="C54" s="2">
        <f t="shared" si="3"/>
        <v>3</v>
      </c>
      <c r="D54" s="15">
        <v>8660.7139999999999</v>
      </c>
      <c r="E54" s="15">
        <v>47749</v>
      </c>
    </row>
    <row r="55" spans="1:5" ht="15" customHeight="1" x14ac:dyDescent="0.25">
      <c r="A55" s="2">
        <v>2020</v>
      </c>
      <c r="B55" s="2">
        <v>2024</v>
      </c>
      <c r="C55" s="2">
        <f t="shared" si="3"/>
        <v>4</v>
      </c>
      <c r="D55" s="15">
        <v>6938.9059999999999</v>
      </c>
      <c r="E55" s="15">
        <v>39733</v>
      </c>
    </row>
    <row r="56" spans="1:5" ht="15" customHeight="1" x14ac:dyDescent="0.25">
      <c r="A56" s="2">
        <v>2020</v>
      </c>
      <c r="B56" s="2">
        <v>2025</v>
      </c>
      <c r="C56" s="2">
        <f t="shared" si="3"/>
        <v>5</v>
      </c>
      <c r="D56" s="15">
        <v>6395.8959999999997</v>
      </c>
      <c r="E56" s="15">
        <v>36859</v>
      </c>
    </row>
    <row r="57" spans="1:5" ht="15" customHeight="1" x14ac:dyDescent="0.25">
      <c r="A57" s="2">
        <v>2020</v>
      </c>
      <c r="B57" s="2">
        <v>2026</v>
      </c>
      <c r="C57" s="2">
        <f t="shared" si="3"/>
        <v>6</v>
      </c>
      <c r="D57" s="15">
        <v>6236.3490000000002</v>
      </c>
      <c r="E57" s="15">
        <v>31209</v>
      </c>
    </row>
    <row r="58" spans="1:5" ht="15" customHeight="1" x14ac:dyDescent="0.25">
      <c r="A58" s="2">
        <v>2020</v>
      </c>
      <c r="B58" s="2">
        <v>2027</v>
      </c>
      <c r="C58" s="2">
        <f t="shared" si="3"/>
        <v>7</v>
      </c>
      <c r="D58" s="15">
        <v>3936.904</v>
      </c>
      <c r="E58" s="15">
        <v>19513</v>
      </c>
    </row>
    <row r="59" spans="1:5" ht="15" customHeight="1" x14ac:dyDescent="0.25">
      <c r="A59" s="2">
        <v>2020</v>
      </c>
      <c r="B59" s="2">
        <v>2028</v>
      </c>
      <c r="C59" s="2">
        <f t="shared" si="3"/>
        <v>8</v>
      </c>
      <c r="D59" s="15">
        <v>3314.7860000000001</v>
      </c>
      <c r="E59" s="15">
        <v>18293</v>
      </c>
    </row>
    <row r="60" spans="1:5" ht="15" customHeight="1" x14ac:dyDescent="0.25">
      <c r="A60" s="2">
        <v>2020</v>
      </c>
      <c r="B60" s="2">
        <v>2029</v>
      </c>
      <c r="C60" s="2">
        <f t="shared" si="3"/>
        <v>9</v>
      </c>
      <c r="D60" s="15">
        <v>3679.8249999999998</v>
      </c>
      <c r="E60" s="15">
        <v>21467</v>
      </c>
    </row>
    <row r="61" spans="1:5" ht="15" customHeight="1" x14ac:dyDescent="0.25">
      <c r="A61" s="2">
        <v>2020</v>
      </c>
      <c r="B61" s="2">
        <v>2030</v>
      </c>
      <c r="C61" s="2">
        <f t="shared" si="3"/>
        <v>10</v>
      </c>
      <c r="D61" s="15">
        <v>2480.7849999999999</v>
      </c>
      <c r="E61" s="15">
        <v>14364</v>
      </c>
    </row>
    <row r="62" spans="1:5" ht="15" customHeight="1" x14ac:dyDescent="0.25">
      <c r="A62" s="2">
        <v>2020</v>
      </c>
      <c r="B62" s="2">
        <v>2031</v>
      </c>
      <c r="C62" s="2">
        <f t="shared" si="3"/>
        <v>11</v>
      </c>
      <c r="D62" s="15">
        <v>4794.4170000000004</v>
      </c>
      <c r="E62" s="15">
        <v>24740</v>
      </c>
    </row>
    <row r="63" spans="1:5" ht="15" customHeight="1" x14ac:dyDescent="0.25">
      <c r="A63" s="2">
        <v>2021</v>
      </c>
      <c r="B63" s="2">
        <v>2022</v>
      </c>
      <c r="C63" s="2">
        <f t="shared" si="3"/>
        <v>1</v>
      </c>
      <c r="D63" s="15">
        <v>4392.9949999999999</v>
      </c>
      <c r="E63" s="15">
        <v>24680</v>
      </c>
    </row>
    <row r="64" spans="1:5" ht="15" customHeight="1" x14ac:dyDescent="0.25">
      <c r="A64" s="2">
        <v>2021</v>
      </c>
      <c r="B64" s="2">
        <v>2023</v>
      </c>
      <c r="C64" s="2">
        <f t="shared" si="3"/>
        <v>2</v>
      </c>
      <c r="D64" s="15">
        <v>8028.4409999999998</v>
      </c>
      <c r="E64" s="15">
        <v>45767</v>
      </c>
    </row>
    <row r="65" spans="1:5" ht="15" customHeight="1" x14ac:dyDescent="0.25">
      <c r="A65" s="2">
        <v>2021</v>
      </c>
      <c r="B65" s="2">
        <v>2024</v>
      </c>
      <c r="C65" s="2">
        <f t="shared" si="3"/>
        <v>3</v>
      </c>
      <c r="D65" s="15">
        <v>7666.326</v>
      </c>
      <c r="E65" s="15">
        <v>45382</v>
      </c>
    </row>
    <row r="66" spans="1:5" ht="15" customHeight="1" x14ac:dyDescent="0.25">
      <c r="A66" s="2">
        <v>2021</v>
      </c>
      <c r="B66" s="2">
        <v>2025</v>
      </c>
      <c r="C66" s="2">
        <f t="shared" si="3"/>
        <v>4</v>
      </c>
      <c r="D66" s="15">
        <v>6168.98</v>
      </c>
      <c r="E66" s="15">
        <v>37824</v>
      </c>
    </row>
    <row r="67" spans="1:5" ht="15" customHeight="1" x14ac:dyDescent="0.25">
      <c r="A67" s="2">
        <v>2021</v>
      </c>
      <c r="B67" s="2">
        <v>2026</v>
      </c>
      <c r="C67" s="2">
        <f t="shared" si="3"/>
        <v>5</v>
      </c>
      <c r="D67" s="15">
        <v>8527.59</v>
      </c>
      <c r="E67" s="15">
        <v>48824</v>
      </c>
    </row>
    <row r="68" spans="1:5" ht="15" customHeight="1" x14ac:dyDescent="0.25">
      <c r="A68" s="2">
        <v>2021</v>
      </c>
      <c r="B68" s="2">
        <v>2027</v>
      </c>
      <c r="C68" s="2">
        <f t="shared" si="3"/>
        <v>6</v>
      </c>
      <c r="D68" s="15">
        <v>6560.7290000000003</v>
      </c>
      <c r="E68" s="15">
        <v>35088</v>
      </c>
    </row>
    <row r="69" spans="1:5" ht="15" customHeight="1" x14ac:dyDescent="0.25">
      <c r="A69" s="2">
        <v>2021</v>
      </c>
      <c r="B69" s="2">
        <v>2028</v>
      </c>
      <c r="C69" s="2">
        <f t="shared" si="3"/>
        <v>7</v>
      </c>
      <c r="D69" s="15">
        <v>4381.8630000000003</v>
      </c>
      <c r="E69" s="15">
        <v>26566</v>
      </c>
    </row>
    <row r="70" spans="1:5" ht="15" customHeight="1" x14ac:dyDescent="0.25">
      <c r="A70" s="2">
        <v>2021</v>
      </c>
      <c r="B70" s="2">
        <v>2029</v>
      </c>
      <c r="C70" s="2">
        <f t="shared" si="3"/>
        <v>8</v>
      </c>
      <c r="D70" s="15">
        <v>3780.6790000000001</v>
      </c>
      <c r="E70" s="15">
        <v>23197</v>
      </c>
    </row>
    <row r="71" spans="1:5" ht="15" customHeight="1" x14ac:dyDescent="0.25">
      <c r="A71" s="2">
        <v>2021</v>
      </c>
      <c r="B71" s="2">
        <v>2030</v>
      </c>
      <c r="C71" s="2">
        <f t="shared" si="3"/>
        <v>9</v>
      </c>
      <c r="D71" s="15">
        <v>2671.8069999999998</v>
      </c>
      <c r="E71" s="15">
        <v>16163</v>
      </c>
    </row>
    <row r="72" spans="1:5" ht="15" customHeight="1" x14ac:dyDescent="0.25">
      <c r="A72" s="2">
        <v>2021</v>
      </c>
      <c r="B72" s="2">
        <v>2031</v>
      </c>
      <c r="C72" s="2">
        <f t="shared" ref="C72:C103" si="4">B72-A72</f>
        <v>10</v>
      </c>
      <c r="D72" s="15">
        <v>2883.3760000000002</v>
      </c>
      <c r="E72" s="15">
        <v>21109</v>
      </c>
    </row>
    <row r="73" spans="1:5" ht="15" customHeight="1" x14ac:dyDescent="0.25">
      <c r="A73" s="2">
        <v>2021</v>
      </c>
      <c r="B73" s="2">
        <v>2032</v>
      </c>
      <c r="C73" s="2">
        <f t="shared" si="4"/>
        <v>11</v>
      </c>
      <c r="D73" s="15">
        <v>4113.4059999999999</v>
      </c>
      <c r="E73" s="15">
        <v>19449</v>
      </c>
    </row>
    <row r="74" spans="1:5" ht="15" customHeight="1" x14ac:dyDescent="0.25">
      <c r="A74" s="2">
        <v>2022</v>
      </c>
      <c r="B74" s="2">
        <v>2023</v>
      </c>
      <c r="C74" s="2">
        <f t="shared" si="4"/>
        <v>1</v>
      </c>
      <c r="D74" s="15">
        <v>4546.74</v>
      </c>
      <c r="E74" s="15">
        <v>29455</v>
      </c>
    </row>
    <row r="75" spans="1:5" ht="15" customHeight="1" x14ac:dyDescent="0.25">
      <c r="A75" s="2">
        <v>2022</v>
      </c>
      <c r="B75" s="2">
        <v>2024</v>
      </c>
      <c r="C75" s="2">
        <f t="shared" si="4"/>
        <v>2</v>
      </c>
      <c r="D75" s="15">
        <v>7356.5339999999997</v>
      </c>
      <c r="E75" s="15">
        <v>44676</v>
      </c>
    </row>
    <row r="76" spans="1:5" ht="15" customHeight="1" x14ac:dyDescent="0.25">
      <c r="A76" s="2">
        <v>2022</v>
      </c>
      <c r="B76" s="2">
        <v>2025</v>
      </c>
      <c r="C76" s="2">
        <f t="shared" si="4"/>
        <v>3</v>
      </c>
      <c r="D76" s="15">
        <v>6756.7179999999998</v>
      </c>
      <c r="E76" s="15">
        <v>44666</v>
      </c>
    </row>
    <row r="77" spans="1:5" ht="15" customHeight="1" x14ac:dyDescent="0.25">
      <c r="A77" s="2">
        <v>2022</v>
      </c>
      <c r="B77" s="2">
        <v>2026</v>
      </c>
      <c r="C77" s="2">
        <f t="shared" si="4"/>
        <v>4</v>
      </c>
      <c r="D77" s="15">
        <v>8530.32</v>
      </c>
      <c r="E77" s="15">
        <v>51590</v>
      </c>
    </row>
    <row r="78" spans="1:5" ht="15" customHeight="1" x14ac:dyDescent="0.25">
      <c r="A78" s="2">
        <v>2022</v>
      </c>
      <c r="B78" s="2">
        <v>2027</v>
      </c>
      <c r="C78" s="2">
        <f t="shared" si="4"/>
        <v>5</v>
      </c>
      <c r="D78" s="15">
        <v>9058.2180000000008</v>
      </c>
      <c r="E78" s="15">
        <v>58645</v>
      </c>
    </row>
    <row r="79" spans="1:5" ht="15" customHeight="1" x14ac:dyDescent="0.25">
      <c r="A79" s="2">
        <v>2022</v>
      </c>
      <c r="B79" s="2">
        <v>2028</v>
      </c>
      <c r="C79" s="2">
        <f t="shared" si="4"/>
        <v>6</v>
      </c>
      <c r="D79" s="15">
        <v>6464.7430000000004</v>
      </c>
      <c r="E79" s="15">
        <v>41924</v>
      </c>
    </row>
    <row r="80" spans="1:5" ht="15" customHeight="1" x14ac:dyDescent="0.25">
      <c r="A80" s="2">
        <v>2022</v>
      </c>
      <c r="B80" s="2">
        <v>2029</v>
      </c>
      <c r="C80" s="2">
        <f t="shared" si="4"/>
        <v>7</v>
      </c>
      <c r="D80" s="15">
        <v>4951.05</v>
      </c>
      <c r="E80" s="15">
        <v>33733</v>
      </c>
    </row>
    <row r="81" spans="1:5" ht="15" customHeight="1" x14ac:dyDescent="0.25">
      <c r="A81" s="2">
        <v>2022</v>
      </c>
      <c r="B81" s="2">
        <v>2030</v>
      </c>
      <c r="C81" s="2">
        <f t="shared" si="4"/>
        <v>8</v>
      </c>
      <c r="D81" s="15">
        <v>2687.634</v>
      </c>
      <c r="E81" s="15">
        <v>18130</v>
      </c>
    </row>
    <row r="82" spans="1:5" ht="15" customHeight="1" x14ac:dyDescent="0.25">
      <c r="A82" s="2">
        <v>2022</v>
      </c>
      <c r="B82" s="2">
        <v>2031</v>
      </c>
      <c r="C82" s="2">
        <f t="shared" si="4"/>
        <v>9</v>
      </c>
      <c r="D82" s="15">
        <v>3119.8009999999999</v>
      </c>
      <c r="E82" s="15">
        <v>23690</v>
      </c>
    </row>
    <row r="83" spans="1:5" ht="15" customHeight="1" x14ac:dyDescent="0.25">
      <c r="A83" s="2">
        <v>2022</v>
      </c>
      <c r="B83" s="2">
        <v>2032</v>
      </c>
      <c r="C83" s="2">
        <f t="shared" si="4"/>
        <v>10</v>
      </c>
      <c r="D83" s="15">
        <v>4082.7</v>
      </c>
      <c r="E83" s="15">
        <v>24864</v>
      </c>
    </row>
    <row r="84" spans="1:5" ht="15" customHeight="1" x14ac:dyDescent="0.25">
      <c r="A84" s="2">
        <v>2022</v>
      </c>
      <c r="B84" s="2">
        <v>2033</v>
      </c>
      <c r="C84" s="2">
        <f t="shared" si="4"/>
        <v>11</v>
      </c>
      <c r="D84" s="15">
        <v>4075.605</v>
      </c>
      <c r="E84" s="15">
        <v>20740</v>
      </c>
    </row>
    <row r="85" spans="1:5" ht="15" customHeight="1" x14ac:dyDescent="0.25">
      <c r="A85" s="2">
        <v>2023</v>
      </c>
      <c r="B85" s="2">
        <v>2024</v>
      </c>
      <c r="C85" s="2">
        <f t="shared" si="4"/>
        <v>1</v>
      </c>
      <c r="D85" s="15">
        <v>3096.8409999999999</v>
      </c>
      <c r="E85" s="15">
        <v>22452</v>
      </c>
    </row>
    <row r="86" spans="1:5" ht="15" customHeight="1" x14ac:dyDescent="0.25">
      <c r="A86" s="2">
        <v>2023</v>
      </c>
      <c r="B86" s="2">
        <v>2025</v>
      </c>
      <c r="C86" s="2">
        <f t="shared" si="4"/>
        <v>2</v>
      </c>
      <c r="D86" s="15">
        <v>6695.36</v>
      </c>
      <c r="E86" s="15">
        <v>45863</v>
      </c>
    </row>
    <row r="87" spans="1:5" ht="15" customHeight="1" x14ac:dyDescent="0.25">
      <c r="A87" s="2">
        <v>2023</v>
      </c>
      <c r="B87" s="2">
        <v>2026</v>
      </c>
      <c r="C87" s="2">
        <f t="shared" si="4"/>
        <v>3</v>
      </c>
      <c r="D87" s="15">
        <v>8914.48</v>
      </c>
      <c r="E87" s="15">
        <v>58779</v>
      </c>
    </row>
    <row r="88" spans="1:5" ht="15" customHeight="1" x14ac:dyDescent="0.25">
      <c r="A88" s="2">
        <v>2023</v>
      </c>
      <c r="B88" s="2">
        <v>2027</v>
      </c>
      <c r="C88" s="2">
        <f t="shared" si="4"/>
        <v>4</v>
      </c>
      <c r="D88" s="15">
        <v>9245.0560000000005</v>
      </c>
      <c r="E88" s="15">
        <v>64744</v>
      </c>
    </row>
    <row r="89" spans="1:5" ht="15" customHeight="1" x14ac:dyDescent="0.25">
      <c r="A89" s="2">
        <v>2023</v>
      </c>
      <c r="B89" s="2">
        <v>2028</v>
      </c>
      <c r="C89" s="2">
        <f t="shared" si="4"/>
        <v>5</v>
      </c>
      <c r="D89" s="15">
        <v>9524.1219999999994</v>
      </c>
      <c r="E89" s="15">
        <v>83046</v>
      </c>
    </row>
    <row r="90" spans="1:5" ht="15" customHeight="1" x14ac:dyDescent="0.25">
      <c r="A90" s="2">
        <v>2023</v>
      </c>
      <c r="B90" s="2">
        <v>2029</v>
      </c>
      <c r="C90" s="2">
        <f t="shared" si="4"/>
        <v>6</v>
      </c>
      <c r="D90" s="15">
        <v>6523.5190000000002</v>
      </c>
      <c r="E90" s="15">
        <v>48527</v>
      </c>
    </row>
    <row r="91" spans="1:5" ht="15" customHeight="1" x14ac:dyDescent="0.25">
      <c r="A91" s="2">
        <v>2023</v>
      </c>
      <c r="B91" s="2">
        <v>2030</v>
      </c>
      <c r="C91" s="2">
        <f t="shared" si="4"/>
        <v>7</v>
      </c>
      <c r="D91" s="15">
        <v>3202.9749999999999</v>
      </c>
      <c r="E91" s="15">
        <v>23632</v>
      </c>
    </row>
    <row r="92" spans="1:5" ht="15" customHeight="1" x14ac:dyDescent="0.25">
      <c r="A92" s="2">
        <v>2023</v>
      </c>
      <c r="B92" s="2">
        <v>2031</v>
      </c>
      <c r="C92" s="2">
        <f t="shared" si="4"/>
        <v>8</v>
      </c>
      <c r="D92" s="15">
        <v>2894.8910000000001</v>
      </c>
      <c r="E92" s="15">
        <v>23256</v>
      </c>
    </row>
    <row r="93" spans="1:5" ht="15" customHeight="1" x14ac:dyDescent="0.25">
      <c r="A93" s="2">
        <v>2023</v>
      </c>
      <c r="B93" s="2">
        <v>2032</v>
      </c>
      <c r="C93" s="2">
        <f t="shared" si="4"/>
        <v>9</v>
      </c>
      <c r="D93" s="15">
        <v>4256.732</v>
      </c>
      <c r="E93" s="15">
        <v>27475</v>
      </c>
    </row>
    <row r="94" spans="1:5" ht="15" customHeight="1" x14ac:dyDescent="0.25">
      <c r="A94" s="2">
        <v>2023</v>
      </c>
      <c r="B94" s="2">
        <v>2033</v>
      </c>
      <c r="C94" s="2">
        <f t="shared" si="4"/>
        <v>10</v>
      </c>
      <c r="D94" s="15">
        <v>2145.1819999999998</v>
      </c>
      <c r="E94" s="15">
        <v>19214</v>
      </c>
    </row>
    <row r="95" spans="1:5" ht="15" customHeight="1" x14ac:dyDescent="0.25">
      <c r="A95" s="2">
        <v>2023</v>
      </c>
      <c r="B95" s="2">
        <v>2034</v>
      </c>
      <c r="C95" s="2">
        <f t="shared" si="4"/>
        <v>11</v>
      </c>
      <c r="D95" s="15">
        <v>4831.8209999999999</v>
      </c>
      <c r="E95" s="15">
        <v>25974</v>
      </c>
    </row>
    <row r="96" spans="1:5" ht="15" customHeight="1" x14ac:dyDescent="0.25">
      <c r="A96" s="2">
        <v>2024</v>
      </c>
      <c r="B96" s="2">
        <v>2025</v>
      </c>
      <c r="C96" s="2">
        <f t="shared" si="4"/>
        <v>1</v>
      </c>
      <c r="D96" s="15">
        <v>2897.7469999999998</v>
      </c>
      <c r="E96" s="15">
        <v>21613</v>
      </c>
    </row>
    <row r="97" spans="1:5" ht="15" customHeight="1" x14ac:dyDescent="0.25">
      <c r="A97" s="2">
        <v>2024</v>
      </c>
      <c r="B97" s="2">
        <v>2026</v>
      </c>
      <c r="C97" s="2">
        <f t="shared" si="4"/>
        <v>2</v>
      </c>
      <c r="D97" s="15">
        <v>8396.5409999999993</v>
      </c>
      <c r="E97" s="15">
        <v>58341</v>
      </c>
    </row>
    <row r="98" spans="1:5" ht="15" customHeight="1" x14ac:dyDescent="0.25">
      <c r="A98" s="2">
        <v>2024</v>
      </c>
      <c r="B98" s="2">
        <v>2027</v>
      </c>
      <c r="C98" s="2">
        <f t="shared" si="4"/>
        <v>3</v>
      </c>
      <c r="D98" s="15">
        <v>9472.0759999999991</v>
      </c>
      <c r="E98" s="15">
        <v>67577</v>
      </c>
    </row>
    <row r="99" spans="1:5" ht="15" customHeight="1" x14ac:dyDescent="0.25">
      <c r="A99" s="2">
        <v>2024</v>
      </c>
      <c r="B99" s="2">
        <v>2028</v>
      </c>
      <c r="C99" s="2">
        <f t="shared" si="4"/>
        <v>4</v>
      </c>
      <c r="D99" s="15">
        <v>9763.6209999999992</v>
      </c>
      <c r="E99" s="15">
        <v>90008</v>
      </c>
    </row>
    <row r="100" spans="1:5" ht="15" customHeight="1" x14ac:dyDescent="0.25">
      <c r="A100" s="2">
        <v>2024</v>
      </c>
      <c r="B100" s="2">
        <v>2029</v>
      </c>
      <c r="C100" s="2">
        <f t="shared" si="4"/>
        <v>5</v>
      </c>
      <c r="D100" s="15">
        <v>7818.241</v>
      </c>
      <c r="E100" s="15">
        <v>73033</v>
      </c>
    </row>
    <row r="101" spans="1:5" ht="15" customHeight="1" x14ac:dyDescent="0.25">
      <c r="A101" s="2">
        <v>2024</v>
      </c>
      <c r="B101" s="2">
        <v>2030</v>
      </c>
      <c r="C101" s="2">
        <f t="shared" si="4"/>
        <v>6</v>
      </c>
      <c r="D101" s="15">
        <v>5402.4359999999997</v>
      </c>
      <c r="E101" s="15">
        <v>41831</v>
      </c>
    </row>
    <row r="102" spans="1:5" ht="15" customHeight="1" x14ac:dyDescent="0.25">
      <c r="A102" s="2">
        <v>2024</v>
      </c>
      <c r="B102" s="2">
        <v>2031</v>
      </c>
      <c r="C102" s="2">
        <f t="shared" si="4"/>
        <v>7</v>
      </c>
      <c r="D102" s="15">
        <v>3628.9409999999998</v>
      </c>
      <c r="E102" s="15">
        <v>33733</v>
      </c>
    </row>
    <row r="103" spans="1:5" ht="15" customHeight="1" x14ac:dyDescent="0.25">
      <c r="A103" s="2">
        <v>2024</v>
      </c>
      <c r="B103" s="2">
        <v>2032</v>
      </c>
      <c r="C103" s="2">
        <f t="shared" si="4"/>
        <v>8</v>
      </c>
      <c r="D103" s="15">
        <v>6424.4570000000003</v>
      </c>
      <c r="E103" s="15">
        <v>42797</v>
      </c>
    </row>
    <row r="104" spans="1:5" ht="15" customHeight="1" x14ac:dyDescent="0.25">
      <c r="A104" s="2">
        <v>2024</v>
      </c>
      <c r="B104" s="2">
        <v>2033</v>
      </c>
      <c r="C104" s="2">
        <f t="shared" ref="C104:C135" si="5">B104-A104</f>
        <v>9</v>
      </c>
      <c r="D104" s="15">
        <v>2453.1170000000002</v>
      </c>
      <c r="E104" s="15">
        <v>22953</v>
      </c>
    </row>
    <row r="105" spans="1:5" ht="15" customHeight="1" x14ac:dyDescent="0.25">
      <c r="A105" s="2">
        <v>2024</v>
      </c>
      <c r="B105" s="2">
        <v>2034</v>
      </c>
      <c r="C105" s="2">
        <f t="shared" si="5"/>
        <v>10</v>
      </c>
      <c r="D105" s="15">
        <v>3600.846</v>
      </c>
      <c r="E105" s="15">
        <v>23465</v>
      </c>
    </row>
    <row r="106" spans="1:5" ht="15" customHeight="1" x14ac:dyDescent="0.25">
      <c r="A106" s="2">
        <v>2024</v>
      </c>
      <c r="B106" s="2">
        <v>2035</v>
      </c>
      <c r="C106" s="2">
        <f t="shared" si="5"/>
        <v>11</v>
      </c>
      <c r="D106" s="15">
        <v>3989.3510000000001</v>
      </c>
      <c r="E106" s="15">
        <v>29043</v>
      </c>
    </row>
    <row r="107" spans="1:5" ht="15" customHeight="1" x14ac:dyDescent="0.25">
      <c r="A107" s="2">
        <v>2025</v>
      </c>
      <c r="B107" s="2">
        <v>2026</v>
      </c>
      <c r="C107" s="2">
        <f t="shared" si="5"/>
        <v>1</v>
      </c>
      <c r="D107" s="15">
        <v>4600.0129999999999</v>
      </c>
      <c r="E107" s="15">
        <v>34949</v>
      </c>
    </row>
    <row r="108" spans="1:5" x14ac:dyDescent="0.25">
      <c r="A108">
        <v>2025</v>
      </c>
      <c r="B108">
        <v>2027</v>
      </c>
      <c r="C108">
        <f t="shared" si="5"/>
        <v>2</v>
      </c>
      <c r="D108">
        <v>8276.8709999999992</v>
      </c>
      <c r="E108">
        <v>63548</v>
      </c>
    </row>
    <row r="109" spans="1:5" x14ac:dyDescent="0.25">
      <c r="A109">
        <v>2025</v>
      </c>
      <c r="B109">
        <v>2028</v>
      </c>
      <c r="C109">
        <f t="shared" si="5"/>
        <v>3</v>
      </c>
      <c r="D109">
        <v>10699.101000000001</v>
      </c>
      <c r="E109">
        <v>101940</v>
      </c>
    </row>
    <row r="110" spans="1:5" x14ac:dyDescent="0.25">
      <c r="A110">
        <v>2025</v>
      </c>
      <c r="B110">
        <v>2029</v>
      </c>
      <c r="C110">
        <f t="shared" si="5"/>
        <v>4</v>
      </c>
      <c r="D110">
        <v>8382.8809999999994</v>
      </c>
      <c r="E110">
        <v>80923</v>
      </c>
    </row>
    <row r="111" spans="1:5" x14ac:dyDescent="0.25">
      <c r="A111">
        <v>2025</v>
      </c>
      <c r="B111">
        <v>2030</v>
      </c>
      <c r="C111">
        <f t="shared" si="5"/>
        <v>5</v>
      </c>
      <c r="D111">
        <v>7139.6670000000004</v>
      </c>
      <c r="E111">
        <v>62492</v>
      </c>
    </row>
    <row r="112" spans="1:5" x14ac:dyDescent="0.25">
      <c r="A112">
        <v>2025</v>
      </c>
      <c r="B112">
        <v>2031</v>
      </c>
      <c r="C112">
        <f t="shared" si="5"/>
        <v>6</v>
      </c>
      <c r="D112">
        <v>5854.3490000000002</v>
      </c>
      <c r="E112">
        <v>49469</v>
      </c>
    </row>
    <row r="113" spans="1:5" x14ac:dyDescent="0.25">
      <c r="A113">
        <v>2025</v>
      </c>
      <c r="B113">
        <v>2032</v>
      </c>
      <c r="C113">
        <f t="shared" si="5"/>
        <v>7</v>
      </c>
      <c r="D113">
        <v>6854.4139999999998</v>
      </c>
      <c r="E113">
        <v>50712</v>
      </c>
    </row>
    <row r="114" spans="1:5" x14ac:dyDescent="0.25">
      <c r="A114">
        <v>2025</v>
      </c>
      <c r="B114">
        <v>2033</v>
      </c>
      <c r="C114">
        <f t="shared" si="5"/>
        <v>8</v>
      </c>
      <c r="D114">
        <v>3050.8609999999999</v>
      </c>
      <c r="E114">
        <v>28519</v>
      </c>
    </row>
    <row r="115" spans="1:5" x14ac:dyDescent="0.25">
      <c r="A115">
        <v>2025</v>
      </c>
      <c r="B115">
        <v>2034</v>
      </c>
      <c r="C115">
        <f t="shared" si="5"/>
        <v>9</v>
      </c>
      <c r="D115">
        <v>4185.5460000000003</v>
      </c>
      <c r="E115">
        <v>29694</v>
      </c>
    </row>
    <row r="116" spans="1:5" x14ac:dyDescent="0.25">
      <c r="A116">
        <v>2025</v>
      </c>
      <c r="B116">
        <v>2035</v>
      </c>
      <c r="C116">
        <f t="shared" si="5"/>
        <v>10</v>
      </c>
      <c r="D116">
        <v>4011.123</v>
      </c>
      <c r="E116">
        <v>28491</v>
      </c>
    </row>
    <row r="117" spans="1:5" x14ac:dyDescent="0.25">
      <c r="A117">
        <v>2025</v>
      </c>
      <c r="B117">
        <v>2036</v>
      </c>
      <c r="C117">
        <f t="shared" si="5"/>
        <v>11</v>
      </c>
      <c r="D117">
        <v>2725.5749999999998</v>
      </c>
      <c r="E117">
        <v>22957</v>
      </c>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7"/>
  <sheetViews>
    <sheetView zoomScaleNormal="100" workbookViewId="0"/>
  </sheetViews>
  <sheetFormatPr defaultColWidth="8.7109375" defaultRowHeight="15" x14ac:dyDescent="0.25"/>
  <cols>
    <col min="1" max="1" width="11" customWidth="1"/>
    <col min="2" max="2" width="15" customWidth="1"/>
    <col min="3" max="3" width="10" customWidth="1"/>
    <col min="4" max="4" width="22" customWidth="1"/>
    <col min="5" max="5" width="30" customWidth="1"/>
    <col min="7" max="7" width="11" customWidth="1"/>
    <col min="8" max="8" width="16" customWidth="1"/>
    <col min="9" max="9" width="18" customWidth="1"/>
  </cols>
  <sheetData>
    <row r="1" spans="1:9" ht="15" customHeight="1" x14ac:dyDescent="0.25">
      <c r="A1" s="1" t="s">
        <v>518</v>
      </c>
    </row>
    <row r="2" spans="1:9" ht="15" customHeight="1" x14ac:dyDescent="0.25">
      <c r="A2" s="2" t="s">
        <v>519</v>
      </c>
    </row>
    <row r="3" spans="1:9" ht="15" customHeight="1" x14ac:dyDescent="0.25">
      <c r="A3" s="2" t="s">
        <v>520</v>
      </c>
    </row>
    <row r="4" spans="1:9" ht="15" customHeight="1" x14ac:dyDescent="0.25">
      <c r="A4" s="2" t="s">
        <v>521</v>
      </c>
    </row>
    <row r="7" spans="1:9" ht="30" customHeight="1" x14ac:dyDescent="0.25">
      <c r="A7" s="14" t="s">
        <v>468</v>
      </c>
      <c r="B7" s="14" t="s">
        <v>508</v>
      </c>
      <c r="C7" s="14" t="s">
        <v>509</v>
      </c>
      <c r="D7" s="14" t="s">
        <v>510</v>
      </c>
      <c r="E7" s="14" t="s">
        <v>511</v>
      </c>
      <c r="G7" s="14" t="s">
        <v>468</v>
      </c>
      <c r="H7" s="14" t="s">
        <v>512</v>
      </c>
      <c r="I7" s="14" t="s">
        <v>513</v>
      </c>
    </row>
    <row r="8" spans="1:9" ht="15" customHeight="1" x14ac:dyDescent="0.25">
      <c r="A8" s="2">
        <v>2016</v>
      </c>
      <c r="B8" s="2">
        <v>2016</v>
      </c>
      <c r="C8" s="2">
        <f t="shared" ref="C8:C39" si="0">B8-A8</f>
        <v>0</v>
      </c>
      <c r="D8" s="15">
        <v>281.82400000000001</v>
      </c>
      <c r="E8" s="15">
        <v>885</v>
      </c>
      <c r="G8" s="2">
        <v>2025</v>
      </c>
      <c r="H8" s="16">
        <f t="shared" ref="H8:H17" si="1">SUMPRODUCT(($A$8:$A$127=G8)*$C$8:$C$127*$D$8:$D$127)/SUMPRODUCT(($A$8:$A$127=G8)*$D$8:$D$127)</f>
        <v>4.8683993301673478</v>
      </c>
      <c r="I8" s="16">
        <f t="shared" ref="I8:I17" si="2">SUMPRODUCT(($A$8:$A$127=G8)*$C$8:$C$127*$E$8:$E$127)/SUMPRODUCT(($A$8:$A$127=G8)*$E$8:$E$127)</f>
        <v>4.8714038324312092</v>
      </c>
    </row>
    <row r="9" spans="1:9" ht="15" customHeight="1" x14ac:dyDescent="0.25">
      <c r="A9" s="2">
        <v>2016</v>
      </c>
      <c r="B9" s="2">
        <v>2017</v>
      </c>
      <c r="C9" s="2">
        <f t="shared" si="0"/>
        <v>1</v>
      </c>
      <c r="D9" s="15">
        <v>5393.2839999999997</v>
      </c>
      <c r="E9" s="15">
        <v>22956</v>
      </c>
      <c r="G9" s="2">
        <v>2024</v>
      </c>
      <c r="H9" s="16">
        <f t="shared" si="1"/>
        <v>4.8658622080001095</v>
      </c>
      <c r="I9" s="16">
        <f t="shared" si="2"/>
        <v>4.9047011071517046</v>
      </c>
    </row>
    <row r="10" spans="1:9" ht="15" customHeight="1" x14ac:dyDescent="0.25">
      <c r="A10" s="2">
        <v>2016</v>
      </c>
      <c r="B10" s="2">
        <v>2018</v>
      </c>
      <c r="C10" s="2">
        <f t="shared" si="0"/>
        <v>2</v>
      </c>
      <c r="D10" s="15">
        <v>11038.428</v>
      </c>
      <c r="E10" s="15">
        <v>43394</v>
      </c>
      <c r="G10" s="2">
        <v>2023</v>
      </c>
      <c r="H10" s="16">
        <f t="shared" si="1"/>
        <v>4.947004604657109</v>
      </c>
      <c r="I10" s="16">
        <f t="shared" si="2"/>
        <v>4.9943243885881268</v>
      </c>
    </row>
    <row r="11" spans="1:9" ht="15" customHeight="1" x14ac:dyDescent="0.25">
      <c r="A11" s="2">
        <v>2016</v>
      </c>
      <c r="B11" s="2">
        <v>2019</v>
      </c>
      <c r="C11" s="2">
        <f t="shared" si="0"/>
        <v>3</v>
      </c>
      <c r="D11" s="15">
        <v>9642.4599999999991</v>
      </c>
      <c r="E11" s="15">
        <v>37175</v>
      </c>
      <c r="G11" s="2">
        <v>2022</v>
      </c>
      <c r="H11" s="16">
        <f t="shared" si="1"/>
        <v>5.1672642523078247</v>
      </c>
      <c r="I11" s="16">
        <f t="shared" si="2"/>
        <v>5.2907163299335433</v>
      </c>
    </row>
    <row r="12" spans="1:9" ht="15" customHeight="1" x14ac:dyDescent="0.25">
      <c r="A12" s="2">
        <v>2016</v>
      </c>
      <c r="B12" s="2">
        <v>2020</v>
      </c>
      <c r="C12" s="2">
        <f t="shared" si="0"/>
        <v>4</v>
      </c>
      <c r="D12" s="15">
        <v>7931.1139999999996</v>
      </c>
      <c r="E12" s="15">
        <v>33024</v>
      </c>
      <c r="G12" s="2">
        <v>2021</v>
      </c>
      <c r="H12" s="16">
        <f t="shared" si="1"/>
        <v>5.4443223764788886</v>
      </c>
      <c r="I12" s="16">
        <f t="shared" si="2"/>
        <v>5.582347891946478</v>
      </c>
    </row>
    <row r="13" spans="1:9" ht="15" customHeight="1" x14ac:dyDescent="0.25">
      <c r="A13" s="2">
        <v>2016</v>
      </c>
      <c r="B13" s="2">
        <v>2021</v>
      </c>
      <c r="C13" s="2">
        <f t="shared" si="0"/>
        <v>5</v>
      </c>
      <c r="D13" s="15">
        <v>6468.1390000000001</v>
      </c>
      <c r="E13" s="15">
        <v>27361</v>
      </c>
      <c r="G13" s="2">
        <v>2020</v>
      </c>
      <c r="H13" s="16">
        <f t="shared" si="1"/>
        <v>5.5706075689232977</v>
      </c>
      <c r="I13" s="16">
        <f t="shared" si="2"/>
        <v>5.6544523219129443</v>
      </c>
    </row>
    <row r="14" spans="1:9" ht="15" customHeight="1" x14ac:dyDescent="0.25">
      <c r="A14" s="2">
        <v>2016</v>
      </c>
      <c r="B14" s="2">
        <v>2022</v>
      </c>
      <c r="C14" s="2">
        <f t="shared" si="0"/>
        <v>6</v>
      </c>
      <c r="D14" s="15">
        <v>3331.13</v>
      </c>
      <c r="E14" s="15">
        <v>13737</v>
      </c>
      <c r="G14" s="2">
        <v>2019</v>
      </c>
      <c r="H14" s="16">
        <f t="shared" si="1"/>
        <v>5.5025748153911556</v>
      </c>
      <c r="I14" s="16">
        <f t="shared" si="2"/>
        <v>5.570813092759658</v>
      </c>
    </row>
    <row r="15" spans="1:9" ht="15" customHeight="1" x14ac:dyDescent="0.25">
      <c r="A15" s="2">
        <v>2016</v>
      </c>
      <c r="B15" s="2">
        <v>2023</v>
      </c>
      <c r="C15" s="2">
        <f t="shared" si="0"/>
        <v>7</v>
      </c>
      <c r="D15" s="15">
        <v>2537.34</v>
      </c>
      <c r="E15" s="15">
        <v>9005</v>
      </c>
      <c r="G15" s="2">
        <v>2018</v>
      </c>
      <c r="H15" s="16">
        <f t="shared" si="1"/>
        <v>5.2431987954111259</v>
      </c>
      <c r="I15" s="16">
        <f t="shared" si="2"/>
        <v>5.2328625192855158</v>
      </c>
    </row>
    <row r="16" spans="1:9" ht="15" customHeight="1" x14ac:dyDescent="0.25">
      <c r="A16" s="2">
        <v>2016</v>
      </c>
      <c r="B16" s="2">
        <v>2024</v>
      </c>
      <c r="C16" s="2">
        <f t="shared" si="0"/>
        <v>8</v>
      </c>
      <c r="D16" s="15">
        <v>2152.7910000000002</v>
      </c>
      <c r="E16" s="15">
        <v>7709</v>
      </c>
      <c r="G16" s="2">
        <v>2017</v>
      </c>
      <c r="H16" s="16">
        <f t="shared" si="1"/>
        <v>5.0156862971853506</v>
      </c>
      <c r="I16" s="16">
        <f t="shared" si="2"/>
        <v>5.0518498751640415</v>
      </c>
    </row>
    <row r="17" spans="1:9" ht="15" customHeight="1" x14ac:dyDescent="0.25">
      <c r="A17" s="2">
        <v>2016</v>
      </c>
      <c r="B17" s="2">
        <v>2025</v>
      </c>
      <c r="C17" s="2">
        <f t="shared" si="0"/>
        <v>9</v>
      </c>
      <c r="D17" s="15">
        <v>1788.742</v>
      </c>
      <c r="E17" s="15">
        <v>7550</v>
      </c>
      <c r="G17" s="2">
        <v>2016</v>
      </c>
      <c r="H17" s="16">
        <f t="shared" si="1"/>
        <v>4.6203948626127502</v>
      </c>
      <c r="I17" s="16">
        <f t="shared" si="2"/>
        <v>4.6182680419501816</v>
      </c>
    </row>
    <row r="18" spans="1:9" ht="15" customHeight="1" x14ac:dyDescent="0.25">
      <c r="A18" s="2">
        <v>2016</v>
      </c>
      <c r="B18" s="2">
        <v>2026</v>
      </c>
      <c r="C18" s="2">
        <f t="shared" si="0"/>
        <v>10</v>
      </c>
      <c r="D18" s="15">
        <v>2930.4409999999998</v>
      </c>
      <c r="E18" s="15">
        <v>10728</v>
      </c>
    </row>
    <row r="19" spans="1:9" ht="15" customHeight="1" x14ac:dyDescent="0.25">
      <c r="A19" s="2">
        <v>2016</v>
      </c>
      <c r="B19" s="2">
        <v>2027</v>
      </c>
      <c r="C19" s="2">
        <f t="shared" si="0"/>
        <v>11</v>
      </c>
      <c r="D19" s="15">
        <v>4127.9949999999999</v>
      </c>
      <c r="E19" s="15">
        <v>17798</v>
      </c>
    </row>
    <row r="20" spans="1:9" ht="15" customHeight="1" x14ac:dyDescent="0.25">
      <c r="A20" s="2">
        <v>2017</v>
      </c>
      <c r="B20" s="2">
        <v>2017</v>
      </c>
      <c r="C20" s="2">
        <f t="shared" si="0"/>
        <v>0</v>
      </c>
      <c r="D20" s="15">
        <v>1279.2840000000001</v>
      </c>
      <c r="E20" s="15">
        <v>4433</v>
      </c>
    </row>
    <row r="21" spans="1:9" ht="15" customHeight="1" x14ac:dyDescent="0.25">
      <c r="A21" s="2">
        <v>2017</v>
      </c>
      <c r="B21" s="2">
        <v>2018</v>
      </c>
      <c r="C21" s="2">
        <f t="shared" si="0"/>
        <v>1</v>
      </c>
      <c r="D21" s="15">
        <v>5665.2280000000001</v>
      </c>
      <c r="E21" s="15">
        <v>23537</v>
      </c>
    </row>
    <row r="22" spans="1:9" ht="15" customHeight="1" x14ac:dyDescent="0.25">
      <c r="A22" s="2">
        <v>2017</v>
      </c>
      <c r="B22" s="2">
        <v>2019</v>
      </c>
      <c r="C22" s="2">
        <f t="shared" si="0"/>
        <v>2</v>
      </c>
      <c r="D22" s="15">
        <v>9298.5</v>
      </c>
      <c r="E22" s="15">
        <v>36853</v>
      </c>
    </row>
    <row r="23" spans="1:9" ht="15" customHeight="1" x14ac:dyDescent="0.25">
      <c r="A23" s="2">
        <v>2017</v>
      </c>
      <c r="B23" s="2">
        <v>2020</v>
      </c>
      <c r="C23" s="2">
        <f t="shared" si="0"/>
        <v>3</v>
      </c>
      <c r="D23" s="15">
        <v>9598.1970000000001</v>
      </c>
      <c r="E23" s="15">
        <v>40721</v>
      </c>
    </row>
    <row r="24" spans="1:9" ht="15" customHeight="1" x14ac:dyDescent="0.25">
      <c r="A24" s="2">
        <v>2017</v>
      </c>
      <c r="B24" s="2">
        <v>2021</v>
      </c>
      <c r="C24" s="2">
        <f t="shared" si="0"/>
        <v>4</v>
      </c>
      <c r="D24" s="15">
        <v>10234.380999999999</v>
      </c>
      <c r="E24" s="15">
        <v>42251</v>
      </c>
    </row>
    <row r="25" spans="1:9" ht="15" customHeight="1" x14ac:dyDescent="0.25">
      <c r="A25" s="2">
        <v>2017</v>
      </c>
      <c r="B25" s="2">
        <v>2022</v>
      </c>
      <c r="C25" s="2">
        <f t="shared" si="0"/>
        <v>5</v>
      </c>
      <c r="D25" s="15">
        <v>5757.53</v>
      </c>
      <c r="E25" s="15">
        <v>24585</v>
      </c>
    </row>
    <row r="26" spans="1:9" ht="15" customHeight="1" x14ac:dyDescent="0.25">
      <c r="A26" s="2">
        <v>2017</v>
      </c>
      <c r="B26" s="2">
        <v>2023</v>
      </c>
      <c r="C26" s="2">
        <f t="shared" si="0"/>
        <v>6</v>
      </c>
      <c r="D26" s="15">
        <v>5870.8590000000004</v>
      </c>
      <c r="E26" s="15">
        <v>21547</v>
      </c>
    </row>
    <row r="27" spans="1:9" ht="15" customHeight="1" x14ac:dyDescent="0.25">
      <c r="A27" s="2">
        <v>2017</v>
      </c>
      <c r="B27" s="2">
        <v>2024</v>
      </c>
      <c r="C27" s="2">
        <f t="shared" si="0"/>
        <v>7</v>
      </c>
      <c r="D27" s="15">
        <v>3854.24</v>
      </c>
      <c r="E27" s="15">
        <v>15278</v>
      </c>
    </row>
    <row r="28" spans="1:9" ht="15" customHeight="1" x14ac:dyDescent="0.25">
      <c r="A28" s="2">
        <v>2017</v>
      </c>
      <c r="B28" s="2">
        <v>2025</v>
      </c>
      <c r="C28" s="2">
        <f t="shared" si="0"/>
        <v>8</v>
      </c>
      <c r="D28" s="15">
        <v>2397.3420000000001</v>
      </c>
      <c r="E28" s="15">
        <v>9894</v>
      </c>
    </row>
    <row r="29" spans="1:9" ht="15" customHeight="1" x14ac:dyDescent="0.25">
      <c r="A29" s="2">
        <v>2017</v>
      </c>
      <c r="B29" s="2">
        <v>2026</v>
      </c>
      <c r="C29" s="2">
        <f t="shared" si="0"/>
        <v>9</v>
      </c>
      <c r="D29" s="15">
        <v>4704.17</v>
      </c>
      <c r="E29" s="15">
        <v>18037</v>
      </c>
    </row>
    <row r="30" spans="1:9" ht="15" customHeight="1" x14ac:dyDescent="0.25">
      <c r="A30" s="2">
        <v>2017</v>
      </c>
      <c r="B30" s="2">
        <v>2027</v>
      </c>
      <c r="C30" s="2">
        <f t="shared" si="0"/>
        <v>10</v>
      </c>
      <c r="D30" s="15">
        <v>1768.9690000000001</v>
      </c>
      <c r="E30" s="15">
        <v>7722</v>
      </c>
    </row>
    <row r="31" spans="1:9" ht="15" customHeight="1" x14ac:dyDescent="0.25">
      <c r="A31" s="2">
        <v>2017</v>
      </c>
      <c r="B31" s="2">
        <v>2028</v>
      </c>
      <c r="C31" s="2">
        <f t="shared" si="0"/>
        <v>11</v>
      </c>
      <c r="D31" s="15">
        <v>6500.0969999999998</v>
      </c>
      <c r="E31" s="15">
        <v>28701</v>
      </c>
    </row>
    <row r="32" spans="1:9" ht="15" customHeight="1" x14ac:dyDescent="0.25">
      <c r="A32" s="2">
        <v>2018</v>
      </c>
      <c r="B32" s="2">
        <v>2018</v>
      </c>
      <c r="C32" s="2">
        <f t="shared" si="0"/>
        <v>0</v>
      </c>
      <c r="D32" s="15">
        <v>129.5</v>
      </c>
      <c r="E32" s="15">
        <v>642</v>
      </c>
    </row>
    <row r="33" spans="1:5" ht="15" customHeight="1" x14ac:dyDescent="0.25">
      <c r="A33" s="2">
        <v>2018</v>
      </c>
      <c r="B33" s="2">
        <v>2019</v>
      </c>
      <c r="C33" s="2">
        <f t="shared" si="0"/>
        <v>1</v>
      </c>
      <c r="D33" s="15">
        <v>6924.8040000000001</v>
      </c>
      <c r="E33" s="15">
        <v>30021</v>
      </c>
    </row>
    <row r="34" spans="1:5" ht="15" customHeight="1" x14ac:dyDescent="0.25">
      <c r="A34" s="2">
        <v>2018</v>
      </c>
      <c r="B34" s="2">
        <v>2020</v>
      </c>
      <c r="C34" s="2">
        <f t="shared" si="0"/>
        <v>2</v>
      </c>
      <c r="D34" s="15">
        <v>9994.1980000000003</v>
      </c>
      <c r="E34" s="15">
        <v>42748</v>
      </c>
    </row>
    <row r="35" spans="1:5" ht="15" customHeight="1" x14ac:dyDescent="0.25">
      <c r="A35" s="2">
        <v>2018</v>
      </c>
      <c r="B35" s="2">
        <v>2021</v>
      </c>
      <c r="C35" s="2">
        <f t="shared" si="0"/>
        <v>3</v>
      </c>
      <c r="D35" s="15">
        <v>10931.569</v>
      </c>
      <c r="E35" s="15">
        <v>47431</v>
      </c>
    </row>
    <row r="36" spans="1:5" ht="15" customHeight="1" x14ac:dyDescent="0.25">
      <c r="A36" s="2">
        <v>2018</v>
      </c>
      <c r="B36" s="2">
        <v>2022</v>
      </c>
      <c r="C36" s="2">
        <f t="shared" si="0"/>
        <v>4</v>
      </c>
      <c r="D36" s="15">
        <v>7015.9949999999999</v>
      </c>
      <c r="E36" s="15">
        <v>29774</v>
      </c>
    </row>
    <row r="37" spans="1:5" ht="15" customHeight="1" x14ac:dyDescent="0.25">
      <c r="A37" s="2">
        <v>2018</v>
      </c>
      <c r="B37" s="2">
        <v>2023</v>
      </c>
      <c r="C37" s="2">
        <f t="shared" si="0"/>
        <v>5</v>
      </c>
      <c r="D37" s="15">
        <v>9118.2860000000001</v>
      </c>
      <c r="E37" s="15">
        <v>34695</v>
      </c>
    </row>
    <row r="38" spans="1:5" ht="15" customHeight="1" x14ac:dyDescent="0.25">
      <c r="A38" s="2">
        <v>2018</v>
      </c>
      <c r="B38" s="2">
        <v>2024</v>
      </c>
      <c r="C38" s="2">
        <f t="shared" si="0"/>
        <v>6</v>
      </c>
      <c r="D38" s="15">
        <v>6456.8609999999999</v>
      </c>
      <c r="E38" s="15">
        <v>26780</v>
      </c>
    </row>
    <row r="39" spans="1:5" ht="15" customHeight="1" x14ac:dyDescent="0.25">
      <c r="A39" s="2">
        <v>2018</v>
      </c>
      <c r="B39" s="2">
        <v>2025</v>
      </c>
      <c r="C39" s="2">
        <f t="shared" si="0"/>
        <v>7</v>
      </c>
      <c r="D39" s="15">
        <v>4031.3850000000002</v>
      </c>
      <c r="E39" s="15">
        <v>17650</v>
      </c>
    </row>
    <row r="40" spans="1:5" ht="15" customHeight="1" x14ac:dyDescent="0.25">
      <c r="A40" s="2">
        <v>2018</v>
      </c>
      <c r="B40" s="2">
        <v>2026</v>
      </c>
      <c r="C40" s="2">
        <f t="shared" ref="C40:C71" si="3">B40-A40</f>
        <v>8</v>
      </c>
      <c r="D40" s="15">
        <v>4491.5820000000003</v>
      </c>
      <c r="E40" s="15">
        <v>18976</v>
      </c>
    </row>
    <row r="41" spans="1:5" ht="15" customHeight="1" x14ac:dyDescent="0.25">
      <c r="A41" s="2">
        <v>2018</v>
      </c>
      <c r="B41" s="2">
        <v>2027</v>
      </c>
      <c r="C41" s="2">
        <f t="shared" si="3"/>
        <v>9</v>
      </c>
      <c r="D41" s="15">
        <v>1916.4179999999999</v>
      </c>
      <c r="E41" s="15">
        <v>9105</v>
      </c>
    </row>
    <row r="42" spans="1:5" ht="15" customHeight="1" x14ac:dyDescent="0.25">
      <c r="A42" s="2">
        <v>2018</v>
      </c>
      <c r="B42" s="2">
        <v>2028</v>
      </c>
      <c r="C42" s="2">
        <f t="shared" si="3"/>
        <v>10</v>
      </c>
      <c r="D42" s="15">
        <v>4589.1989999999996</v>
      </c>
      <c r="E42" s="15">
        <v>19085</v>
      </c>
    </row>
    <row r="43" spans="1:5" ht="15" customHeight="1" x14ac:dyDescent="0.25">
      <c r="A43" s="2">
        <v>2018</v>
      </c>
      <c r="B43" s="2">
        <v>2029</v>
      </c>
      <c r="C43" s="2">
        <f t="shared" si="3"/>
        <v>11</v>
      </c>
      <c r="D43" s="15">
        <v>7739.7479999999996</v>
      </c>
      <c r="E43" s="15">
        <v>32911</v>
      </c>
    </row>
    <row r="44" spans="1:5" ht="15" customHeight="1" x14ac:dyDescent="0.25">
      <c r="A44" s="2">
        <v>2019</v>
      </c>
      <c r="B44" s="2">
        <v>2019</v>
      </c>
      <c r="C44" s="2">
        <f t="shared" si="3"/>
        <v>0</v>
      </c>
      <c r="D44" s="15">
        <v>22.8</v>
      </c>
      <c r="E44" s="15">
        <v>54</v>
      </c>
    </row>
    <row r="45" spans="1:5" ht="15" customHeight="1" x14ac:dyDescent="0.25">
      <c r="A45" s="2">
        <v>2019</v>
      </c>
      <c r="B45" s="2">
        <v>2020</v>
      </c>
      <c r="C45" s="2">
        <f t="shared" si="3"/>
        <v>1</v>
      </c>
      <c r="D45" s="15">
        <v>6977.348</v>
      </c>
      <c r="E45" s="15">
        <v>32555</v>
      </c>
    </row>
    <row r="46" spans="1:5" ht="15" customHeight="1" x14ac:dyDescent="0.25">
      <c r="A46" s="2">
        <v>2019</v>
      </c>
      <c r="B46" s="2">
        <v>2021</v>
      </c>
      <c r="C46" s="2">
        <f t="shared" si="3"/>
        <v>2</v>
      </c>
      <c r="D46" s="15">
        <v>11594.269</v>
      </c>
      <c r="E46" s="15">
        <v>50683</v>
      </c>
    </row>
    <row r="47" spans="1:5" ht="15" customHeight="1" x14ac:dyDescent="0.25">
      <c r="A47" s="2">
        <v>2019</v>
      </c>
      <c r="B47" s="2">
        <v>2022</v>
      </c>
      <c r="C47" s="2">
        <f t="shared" si="3"/>
        <v>3</v>
      </c>
      <c r="D47" s="15">
        <v>9048.1309999999994</v>
      </c>
      <c r="E47" s="15">
        <v>39581</v>
      </c>
    </row>
    <row r="48" spans="1:5" ht="15" customHeight="1" x14ac:dyDescent="0.25">
      <c r="A48" s="2">
        <v>2019</v>
      </c>
      <c r="B48" s="2">
        <v>2023</v>
      </c>
      <c r="C48" s="2">
        <f t="shared" si="3"/>
        <v>4</v>
      </c>
      <c r="D48" s="15">
        <v>11398.164000000001</v>
      </c>
      <c r="E48" s="15">
        <v>44345</v>
      </c>
    </row>
    <row r="49" spans="1:5" ht="15" customHeight="1" x14ac:dyDescent="0.25">
      <c r="A49" s="2">
        <v>2019</v>
      </c>
      <c r="B49" s="2">
        <v>2024</v>
      </c>
      <c r="C49" s="2">
        <f t="shared" si="3"/>
        <v>5</v>
      </c>
      <c r="D49" s="15">
        <v>11119.593999999999</v>
      </c>
      <c r="E49" s="15">
        <v>47036</v>
      </c>
    </row>
    <row r="50" spans="1:5" ht="15" customHeight="1" x14ac:dyDescent="0.25">
      <c r="A50" s="2">
        <v>2019</v>
      </c>
      <c r="B50" s="2">
        <v>2025</v>
      </c>
      <c r="C50" s="2">
        <f t="shared" si="3"/>
        <v>6</v>
      </c>
      <c r="D50" s="15">
        <v>7295.2049999999999</v>
      </c>
      <c r="E50" s="15">
        <v>30933</v>
      </c>
    </row>
    <row r="51" spans="1:5" ht="15" customHeight="1" x14ac:dyDescent="0.25">
      <c r="A51" s="2">
        <v>2019</v>
      </c>
      <c r="B51" s="2">
        <v>2026</v>
      </c>
      <c r="C51" s="2">
        <f t="shared" si="3"/>
        <v>7</v>
      </c>
      <c r="D51" s="15">
        <v>6543.87</v>
      </c>
      <c r="E51" s="15">
        <v>30121</v>
      </c>
    </row>
    <row r="52" spans="1:5" ht="15" customHeight="1" x14ac:dyDescent="0.25">
      <c r="A52" s="2">
        <v>2019</v>
      </c>
      <c r="B52" s="2">
        <v>2027</v>
      </c>
      <c r="C52" s="2">
        <f t="shared" si="3"/>
        <v>8</v>
      </c>
      <c r="D52" s="15">
        <v>2724.585</v>
      </c>
      <c r="E52" s="15">
        <v>13394</v>
      </c>
    </row>
    <row r="53" spans="1:5" ht="15" customHeight="1" x14ac:dyDescent="0.25">
      <c r="A53" s="2">
        <v>2019</v>
      </c>
      <c r="B53" s="2">
        <v>2028</v>
      </c>
      <c r="C53" s="2">
        <f t="shared" si="3"/>
        <v>9</v>
      </c>
      <c r="D53" s="15">
        <v>4716.7709999999997</v>
      </c>
      <c r="E53" s="15">
        <v>20136</v>
      </c>
    </row>
    <row r="54" spans="1:5" ht="15" customHeight="1" x14ac:dyDescent="0.25">
      <c r="A54" s="2">
        <v>2019</v>
      </c>
      <c r="B54" s="2">
        <v>2029</v>
      </c>
      <c r="C54" s="2">
        <f t="shared" si="3"/>
        <v>10</v>
      </c>
      <c r="D54" s="15">
        <v>3743.9</v>
      </c>
      <c r="E54" s="15">
        <v>18220</v>
      </c>
    </row>
    <row r="55" spans="1:5" ht="15" customHeight="1" x14ac:dyDescent="0.25">
      <c r="A55" s="2">
        <v>2019</v>
      </c>
      <c r="B55" s="2">
        <v>2030</v>
      </c>
      <c r="C55" s="2">
        <f t="shared" si="3"/>
        <v>11</v>
      </c>
      <c r="D55" s="15">
        <v>11631.49</v>
      </c>
      <c r="E55" s="15">
        <v>53366</v>
      </c>
    </row>
    <row r="56" spans="1:5" ht="15" customHeight="1" x14ac:dyDescent="0.25">
      <c r="A56" s="2">
        <v>2020</v>
      </c>
      <c r="B56" s="2">
        <v>2020</v>
      </c>
      <c r="C56" s="2">
        <f t="shared" si="3"/>
        <v>0</v>
      </c>
      <c r="D56" s="15">
        <v>262.89699999999999</v>
      </c>
      <c r="E56" s="15">
        <v>1332</v>
      </c>
    </row>
    <row r="57" spans="1:5" ht="15" customHeight="1" x14ac:dyDescent="0.25">
      <c r="A57" s="2">
        <v>2020</v>
      </c>
      <c r="B57" s="2">
        <v>2021</v>
      </c>
      <c r="C57" s="2">
        <f t="shared" si="3"/>
        <v>1</v>
      </c>
      <c r="D57" s="15">
        <v>8152.6710000000003</v>
      </c>
      <c r="E57" s="15">
        <v>36142</v>
      </c>
    </row>
    <row r="58" spans="1:5" ht="15" customHeight="1" x14ac:dyDescent="0.25">
      <c r="A58" s="2">
        <v>2020</v>
      </c>
      <c r="B58" s="2">
        <v>2022</v>
      </c>
      <c r="C58" s="2">
        <f t="shared" si="3"/>
        <v>2</v>
      </c>
      <c r="D58" s="15">
        <v>9375.0290000000005</v>
      </c>
      <c r="E58" s="15">
        <v>42315</v>
      </c>
    </row>
    <row r="59" spans="1:5" ht="15" customHeight="1" x14ac:dyDescent="0.25">
      <c r="A59" s="2">
        <v>2020</v>
      </c>
      <c r="B59" s="2">
        <v>2023</v>
      </c>
      <c r="C59" s="2">
        <f t="shared" si="3"/>
        <v>3</v>
      </c>
      <c r="D59" s="15">
        <v>13541.626</v>
      </c>
      <c r="E59" s="15">
        <v>56261</v>
      </c>
    </row>
    <row r="60" spans="1:5" ht="15" customHeight="1" x14ac:dyDescent="0.25">
      <c r="A60" s="2">
        <v>2020</v>
      </c>
      <c r="B60" s="2">
        <v>2024</v>
      </c>
      <c r="C60" s="2">
        <f t="shared" si="3"/>
        <v>4</v>
      </c>
      <c r="D60" s="15">
        <v>10483.458000000001</v>
      </c>
      <c r="E60" s="15">
        <v>47539</v>
      </c>
    </row>
    <row r="61" spans="1:5" ht="15" customHeight="1" x14ac:dyDescent="0.25">
      <c r="A61" s="2">
        <v>2020</v>
      </c>
      <c r="B61" s="2">
        <v>2025</v>
      </c>
      <c r="C61" s="2">
        <f t="shared" si="3"/>
        <v>5</v>
      </c>
      <c r="D61" s="15">
        <v>10355.172</v>
      </c>
      <c r="E61" s="15">
        <v>45775</v>
      </c>
    </row>
    <row r="62" spans="1:5" ht="15" customHeight="1" x14ac:dyDescent="0.25">
      <c r="A62" s="2">
        <v>2020</v>
      </c>
      <c r="B62" s="2">
        <v>2026</v>
      </c>
      <c r="C62" s="2">
        <f t="shared" si="3"/>
        <v>6</v>
      </c>
      <c r="D62" s="15">
        <v>10412.496999999999</v>
      </c>
      <c r="E62" s="15">
        <v>48812</v>
      </c>
    </row>
    <row r="63" spans="1:5" ht="15" customHeight="1" x14ac:dyDescent="0.25">
      <c r="A63" s="2">
        <v>2020</v>
      </c>
      <c r="B63" s="2">
        <v>2027</v>
      </c>
      <c r="C63" s="2">
        <f t="shared" si="3"/>
        <v>7</v>
      </c>
      <c r="D63" s="15">
        <v>5745.5590000000002</v>
      </c>
      <c r="E63" s="15">
        <v>25627</v>
      </c>
    </row>
    <row r="64" spans="1:5" ht="15" customHeight="1" x14ac:dyDescent="0.25">
      <c r="A64" s="2">
        <v>2020</v>
      </c>
      <c r="B64" s="2">
        <v>2028</v>
      </c>
      <c r="C64" s="2">
        <f t="shared" si="3"/>
        <v>8</v>
      </c>
      <c r="D64" s="15">
        <v>4631.0940000000001</v>
      </c>
      <c r="E64" s="15">
        <v>20507</v>
      </c>
    </row>
    <row r="65" spans="1:5" ht="15" customHeight="1" x14ac:dyDescent="0.25">
      <c r="A65" s="2">
        <v>2020</v>
      </c>
      <c r="B65" s="2">
        <v>2029</v>
      </c>
      <c r="C65" s="2">
        <f t="shared" si="3"/>
        <v>9</v>
      </c>
      <c r="D65" s="15">
        <v>5879.7110000000002</v>
      </c>
      <c r="E65" s="15">
        <v>27399</v>
      </c>
    </row>
    <row r="66" spans="1:5" ht="15" customHeight="1" x14ac:dyDescent="0.25">
      <c r="A66" s="2">
        <v>2020</v>
      </c>
      <c r="B66" s="2">
        <v>2030</v>
      </c>
      <c r="C66" s="2">
        <f t="shared" si="3"/>
        <v>10</v>
      </c>
      <c r="D66" s="15">
        <v>3565.982</v>
      </c>
      <c r="E66" s="15">
        <v>18581</v>
      </c>
    </row>
    <row r="67" spans="1:5" ht="15" customHeight="1" x14ac:dyDescent="0.25">
      <c r="A67" s="2">
        <v>2020</v>
      </c>
      <c r="B67" s="2">
        <v>2031</v>
      </c>
      <c r="C67" s="2">
        <f t="shared" si="3"/>
        <v>11</v>
      </c>
      <c r="D67" s="15">
        <v>12799.338</v>
      </c>
      <c r="E67" s="15">
        <v>59205</v>
      </c>
    </row>
    <row r="68" spans="1:5" ht="15" customHeight="1" x14ac:dyDescent="0.25">
      <c r="A68" s="2">
        <v>2021</v>
      </c>
      <c r="B68" s="2">
        <v>2021</v>
      </c>
      <c r="C68" s="2">
        <f t="shared" si="3"/>
        <v>0</v>
      </c>
      <c r="D68" s="15">
        <v>121.09699999999999</v>
      </c>
      <c r="E68" s="15">
        <v>558</v>
      </c>
    </row>
    <row r="69" spans="1:5" ht="15" customHeight="1" x14ac:dyDescent="0.25">
      <c r="A69" s="2">
        <v>2021</v>
      </c>
      <c r="B69" s="2">
        <v>2022</v>
      </c>
      <c r="C69" s="2">
        <f t="shared" si="3"/>
        <v>1</v>
      </c>
      <c r="D69" s="15">
        <v>6801.3029999999999</v>
      </c>
      <c r="E69" s="15">
        <v>31421</v>
      </c>
    </row>
    <row r="70" spans="1:5" ht="15" customHeight="1" x14ac:dyDescent="0.25">
      <c r="A70" s="2">
        <v>2021</v>
      </c>
      <c r="B70" s="2">
        <v>2023</v>
      </c>
      <c r="C70" s="2">
        <f t="shared" si="3"/>
        <v>2</v>
      </c>
      <c r="D70" s="15">
        <v>13774.659</v>
      </c>
      <c r="E70" s="15">
        <v>59180</v>
      </c>
    </row>
    <row r="71" spans="1:5" ht="15" customHeight="1" x14ac:dyDescent="0.25">
      <c r="A71" s="2">
        <v>2021</v>
      </c>
      <c r="B71" s="2">
        <v>2024</v>
      </c>
      <c r="C71" s="2">
        <f t="shared" si="3"/>
        <v>3</v>
      </c>
      <c r="D71" s="15">
        <v>13719.494000000001</v>
      </c>
      <c r="E71" s="15">
        <v>63701</v>
      </c>
    </row>
    <row r="72" spans="1:5" ht="15" customHeight="1" x14ac:dyDescent="0.25">
      <c r="A72" s="2">
        <v>2021</v>
      </c>
      <c r="B72" s="2">
        <v>2025</v>
      </c>
      <c r="C72" s="2">
        <f t="shared" ref="C72:C103" si="4">B72-A72</f>
        <v>4</v>
      </c>
      <c r="D72" s="15">
        <v>12567.456</v>
      </c>
      <c r="E72" s="15">
        <v>55972</v>
      </c>
    </row>
    <row r="73" spans="1:5" ht="15" customHeight="1" x14ac:dyDescent="0.25">
      <c r="A73" s="2">
        <v>2021</v>
      </c>
      <c r="B73" s="2">
        <v>2026</v>
      </c>
      <c r="C73" s="2">
        <f t="shared" si="4"/>
        <v>5</v>
      </c>
      <c r="D73" s="15">
        <v>14228.308999999999</v>
      </c>
      <c r="E73" s="15">
        <v>68938</v>
      </c>
    </row>
    <row r="74" spans="1:5" ht="15" customHeight="1" x14ac:dyDescent="0.25">
      <c r="A74" s="2">
        <v>2021</v>
      </c>
      <c r="B74" s="2">
        <v>2027</v>
      </c>
      <c r="C74" s="2">
        <f t="shared" si="4"/>
        <v>6</v>
      </c>
      <c r="D74" s="15">
        <v>9845.7039999999997</v>
      </c>
      <c r="E74" s="15">
        <v>46835</v>
      </c>
    </row>
    <row r="75" spans="1:5" ht="15" customHeight="1" x14ac:dyDescent="0.25">
      <c r="A75" s="2">
        <v>2021</v>
      </c>
      <c r="B75" s="2">
        <v>2028</v>
      </c>
      <c r="C75" s="2">
        <f t="shared" si="4"/>
        <v>7</v>
      </c>
      <c r="D75" s="15">
        <v>6098.9859999999999</v>
      </c>
      <c r="E75" s="15">
        <v>27540</v>
      </c>
    </row>
    <row r="76" spans="1:5" ht="15" customHeight="1" x14ac:dyDescent="0.25">
      <c r="A76" s="2">
        <v>2021</v>
      </c>
      <c r="B76" s="2">
        <v>2029</v>
      </c>
      <c r="C76" s="2">
        <f t="shared" si="4"/>
        <v>8</v>
      </c>
      <c r="D76" s="15">
        <v>6574.8909999999996</v>
      </c>
      <c r="E76" s="15">
        <v>31521</v>
      </c>
    </row>
    <row r="77" spans="1:5" ht="15" customHeight="1" x14ac:dyDescent="0.25">
      <c r="A77" s="2">
        <v>2021</v>
      </c>
      <c r="B77" s="2">
        <v>2030</v>
      </c>
      <c r="C77" s="2">
        <f t="shared" si="4"/>
        <v>9</v>
      </c>
      <c r="D77" s="15">
        <v>3710.9369999999999</v>
      </c>
      <c r="E77" s="15">
        <v>21003</v>
      </c>
    </row>
    <row r="78" spans="1:5" ht="15" customHeight="1" x14ac:dyDescent="0.25">
      <c r="A78" s="2">
        <v>2021</v>
      </c>
      <c r="B78" s="2">
        <v>2031</v>
      </c>
      <c r="C78" s="2">
        <f t="shared" si="4"/>
        <v>10</v>
      </c>
      <c r="D78" s="15">
        <v>7003.482</v>
      </c>
      <c r="E78" s="15">
        <v>33503</v>
      </c>
    </row>
    <row r="79" spans="1:5" ht="15" customHeight="1" x14ac:dyDescent="0.25">
      <c r="A79" s="2">
        <v>2021</v>
      </c>
      <c r="B79" s="2">
        <v>2032</v>
      </c>
      <c r="C79" s="2">
        <f t="shared" si="4"/>
        <v>11</v>
      </c>
      <c r="D79" s="15">
        <v>10705.485000000001</v>
      </c>
      <c r="E79" s="15">
        <v>54953</v>
      </c>
    </row>
    <row r="80" spans="1:5" ht="15" customHeight="1" x14ac:dyDescent="0.25">
      <c r="A80" s="2">
        <v>2022</v>
      </c>
      <c r="B80" s="2">
        <v>2022</v>
      </c>
      <c r="C80" s="2">
        <f t="shared" si="4"/>
        <v>0</v>
      </c>
      <c r="D80" s="15">
        <v>29.891999999999999</v>
      </c>
      <c r="E80" s="15">
        <v>343</v>
      </c>
    </row>
    <row r="81" spans="1:5" ht="15" customHeight="1" x14ac:dyDescent="0.25">
      <c r="A81" s="2">
        <v>2022</v>
      </c>
      <c r="B81" s="2">
        <v>2023</v>
      </c>
      <c r="C81" s="2">
        <f t="shared" si="4"/>
        <v>1</v>
      </c>
      <c r="D81" s="15">
        <v>8912.5110000000004</v>
      </c>
      <c r="E81" s="15">
        <v>41436</v>
      </c>
    </row>
    <row r="82" spans="1:5" ht="15" customHeight="1" x14ac:dyDescent="0.25">
      <c r="A82" s="2">
        <v>2022</v>
      </c>
      <c r="B82" s="2">
        <v>2024</v>
      </c>
      <c r="C82" s="2">
        <f t="shared" si="4"/>
        <v>2</v>
      </c>
      <c r="D82" s="15">
        <v>13373.95</v>
      </c>
      <c r="E82" s="15">
        <v>63798</v>
      </c>
    </row>
    <row r="83" spans="1:5" ht="15" customHeight="1" x14ac:dyDescent="0.25">
      <c r="A83" s="2">
        <v>2022</v>
      </c>
      <c r="B83" s="2">
        <v>2025</v>
      </c>
      <c r="C83" s="2">
        <f t="shared" si="4"/>
        <v>3</v>
      </c>
      <c r="D83" s="15">
        <v>14316.715</v>
      </c>
      <c r="E83" s="15">
        <v>65502</v>
      </c>
    </row>
    <row r="84" spans="1:5" ht="15" customHeight="1" x14ac:dyDescent="0.25">
      <c r="A84" s="2">
        <v>2022</v>
      </c>
      <c r="B84" s="2">
        <v>2026</v>
      </c>
      <c r="C84" s="2">
        <f t="shared" si="4"/>
        <v>4</v>
      </c>
      <c r="D84" s="15">
        <v>18106.956999999999</v>
      </c>
      <c r="E84" s="15">
        <v>87444</v>
      </c>
    </row>
    <row r="85" spans="1:5" ht="15" customHeight="1" x14ac:dyDescent="0.25">
      <c r="A85" s="2">
        <v>2022</v>
      </c>
      <c r="B85" s="2">
        <v>2027</v>
      </c>
      <c r="C85" s="2">
        <f t="shared" si="4"/>
        <v>5</v>
      </c>
      <c r="D85" s="15">
        <v>14196.659</v>
      </c>
      <c r="E85" s="15">
        <v>71200</v>
      </c>
    </row>
    <row r="86" spans="1:5" ht="15" customHeight="1" x14ac:dyDescent="0.25">
      <c r="A86" s="2">
        <v>2022</v>
      </c>
      <c r="B86" s="2">
        <v>2028</v>
      </c>
      <c r="C86" s="2">
        <f t="shared" si="4"/>
        <v>6</v>
      </c>
      <c r="D86" s="15">
        <v>8846.7260000000006</v>
      </c>
      <c r="E86" s="15">
        <v>41801</v>
      </c>
    </row>
    <row r="87" spans="1:5" ht="15" customHeight="1" x14ac:dyDescent="0.25">
      <c r="A87" s="2">
        <v>2022</v>
      </c>
      <c r="B87" s="2">
        <v>2029</v>
      </c>
      <c r="C87" s="2">
        <f t="shared" si="4"/>
        <v>7</v>
      </c>
      <c r="D87" s="15">
        <v>7977.7610000000004</v>
      </c>
      <c r="E87" s="15">
        <v>39201</v>
      </c>
    </row>
    <row r="88" spans="1:5" ht="15" customHeight="1" x14ac:dyDescent="0.25">
      <c r="A88" s="2">
        <v>2022</v>
      </c>
      <c r="B88" s="2">
        <v>2030</v>
      </c>
      <c r="C88" s="2">
        <f t="shared" si="4"/>
        <v>8</v>
      </c>
      <c r="D88" s="15">
        <v>4110.74</v>
      </c>
      <c r="E88" s="15">
        <v>23014</v>
      </c>
    </row>
    <row r="89" spans="1:5" ht="15" customHeight="1" x14ac:dyDescent="0.25">
      <c r="A89" s="2">
        <v>2022</v>
      </c>
      <c r="B89" s="2">
        <v>2031</v>
      </c>
      <c r="C89" s="2">
        <f t="shared" si="4"/>
        <v>9</v>
      </c>
      <c r="D89" s="15">
        <v>7312.8720000000003</v>
      </c>
      <c r="E89" s="15">
        <v>35034</v>
      </c>
    </row>
    <row r="90" spans="1:5" ht="15" customHeight="1" x14ac:dyDescent="0.25">
      <c r="A90" s="2">
        <v>2022</v>
      </c>
      <c r="B90" s="2">
        <v>2032</v>
      </c>
      <c r="C90" s="2">
        <f t="shared" si="4"/>
        <v>10</v>
      </c>
      <c r="D90" s="15">
        <v>2542.5749999999998</v>
      </c>
      <c r="E90" s="15">
        <v>17608</v>
      </c>
    </row>
    <row r="91" spans="1:5" ht="15" customHeight="1" x14ac:dyDescent="0.25">
      <c r="A91" s="2">
        <v>2022</v>
      </c>
      <c r="B91" s="2">
        <v>2033</v>
      </c>
      <c r="C91" s="2">
        <f t="shared" si="4"/>
        <v>11</v>
      </c>
      <c r="D91" s="15">
        <v>10328.555</v>
      </c>
      <c r="E91" s="15">
        <v>52770</v>
      </c>
    </row>
    <row r="92" spans="1:5" ht="15" customHeight="1" x14ac:dyDescent="0.25">
      <c r="A92" s="2">
        <v>2023</v>
      </c>
      <c r="B92" s="2">
        <v>2023</v>
      </c>
      <c r="C92" s="2">
        <f t="shared" si="4"/>
        <v>0</v>
      </c>
      <c r="D92" s="15">
        <v>141.869</v>
      </c>
      <c r="E92" s="15">
        <v>1116</v>
      </c>
    </row>
    <row r="93" spans="1:5" ht="15" customHeight="1" x14ac:dyDescent="0.25">
      <c r="A93" s="2">
        <v>2023</v>
      </c>
      <c r="B93" s="2">
        <v>2024</v>
      </c>
      <c r="C93" s="2">
        <f t="shared" si="4"/>
        <v>1</v>
      </c>
      <c r="D93" s="15">
        <v>8256.9979999999996</v>
      </c>
      <c r="E93" s="15">
        <v>44397</v>
      </c>
    </row>
    <row r="94" spans="1:5" ht="15" customHeight="1" x14ac:dyDescent="0.25">
      <c r="A94" s="2">
        <v>2023</v>
      </c>
      <c r="B94" s="2">
        <v>2025</v>
      </c>
      <c r="C94" s="2">
        <f t="shared" si="4"/>
        <v>2</v>
      </c>
      <c r="D94" s="15">
        <v>13442.258</v>
      </c>
      <c r="E94" s="15">
        <v>65556</v>
      </c>
    </row>
    <row r="95" spans="1:5" ht="15" customHeight="1" x14ac:dyDescent="0.25">
      <c r="A95" s="2">
        <v>2023</v>
      </c>
      <c r="B95" s="2">
        <v>2026</v>
      </c>
      <c r="C95" s="2">
        <f t="shared" si="4"/>
        <v>3</v>
      </c>
      <c r="D95" s="15">
        <v>19727.593000000001</v>
      </c>
      <c r="E95" s="15">
        <v>104264</v>
      </c>
    </row>
    <row r="96" spans="1:5" ht="15" customHeight="1" x14ac:dyDescent="0.25">
      <c r="A96" s="2">
        <v>2023</v>
      </c>
      <c r="B96" s="2">
        <v>2027</v>
      </c>
      <c r="C96" s="2">
        <f t="shared" si="4"/>
        <v>4</v>
      </c>
      <c r="D96" s="15">
        <v>16263.26</v>
      </c>
      <c r="E96" s="15">
        <v>84401</v>
      </c>
    </row>
    <row r="97" spans="1:5" ht="15" customHeight="1" x14ac:dyDescent="0.25">
      <c r="A97" s="2">
        <v>2023</v>
      </c>
      <c r="B97" s="2">
        <v>2028</v>
      </c>
      <c r="C97" s="2">
        <f t="shared" si="4"/>
        <v>5</v>
      </c>
      <c r="D97" s="15">
        <v>11847.861000000001</v>
      </c>
      <c r="E97" s="15">
        <v>63905</v>
      </c>
    </row>
    <row r="98" spans="1:5" ht="15" customHeight="1" x14ac:dyDescent="0.25">
      <c r="A98" s="2">
        <v>2023</v>
      </c>
      <c r="B98" s="2">
        <v>2029</v>
      </c>
      <c r="C98" s="2">
        <f t="shared" si="4"/>
        <v>6</v>
      </c>
      <c r="D98" s="15">
        <v>12912.794</v>
      </c>
      <c r="E98" s="15">
        <v>63280</v>
      </c>
    </row>
    <row r="99" spans="1:5" ht="15" customHeight="1" x14ac:dyDescent="0.25">
      <c r="A99" s="2">
        <v>2023</v>
      </c>
      <c r="B99" s="2">
        <v>2030</v>
      </c>
      <c r="C99" s="2">
        <f t="shared" si="4"/>
        <v>7</v>
      </c>
      <c r="D99" s="15">
        <v>6038.1570000000002</v>
      </c>
      <c r="E99" s="15">
        <v>37409</v>
      </c>
    </row>
    <row r="100" spans="1:5" ht="15" customHeight="1" x14ac:dyDescent="0.25">
      <c r="A100" s="2">
        <v>2023</v>
      </c>
      <c r="B100" s="2">
        <v>2031</v>
      </c>
      <c r="C100" s="2">
        <f t="shared" si="4"/>
        <v>8</v>
      </c>
      <c r="D100" s="15">
        <v>7529.9319999999998</v>
      </c>
      <c r="E100" s="15">
        <v>37499</v>
      </c>
    </row>
    <row r="101" spans="1:5" ht="15" customHeight="1" x14ac:dyDescent="0.25">
      <c r="A101" s="2">
        <v>2023</v>
      </c>
      <c r="B101" s="2">
        <v>2032</v>
      </c>
      <c r="C101" s="2">
        <f t="shared" si="4"/>
        <v>9</v>
      </c>
      <c r="D101" s="15">
        <v>2800.5749999999998</v>
      </c>
      <c r="E101" s="15">
        <v>19507</v>
      </c>
    </row>
    <row r="102" spans="1:5" ht="15" customHeight="1" x14ac:dyDescent="0.25">
      <c r="A102" s="2">
        <v>2023</v>
      </c>
      <c r="B102" s="2">
        <v>2033</v>
      </c>
      <c r="C102" s="2">
        <f t="shared" si="4"/>
        <v>10</v>
      </c>
      <c r="D102" s="15">
        <v>2327.2020000000002</v>
      </c>
      <c r="E102" s="15">
        <v>13416</v>
      </c>
    </row>
    <row r="103" spans="1:5" ht="15" customHeight="1" x14ac:dyDescent="0.25">
      <c r="A103" s="2">
        <v>2023</v>
      </c>
      <c r="B103" s="2">
        <v>2034</v>
      </c>
      <c r="C103" s="2">
        <f t="shared" si="4"/>
        <v>11</v>
      </c>
      <c r="D103" s="15">
        <v>8920.7929999999997</v>
      </c>
      <c r="E103" s="15">
        <v>45628</v>
      </c>
    </row>
    <row r="104" spans="1:5" ht="15" customHeight="1" x14ac:dyDescent="0.25">
      <c r="A104" s="2">
        <v>2024</v>
      </c>
      <c r="B104" s="2">
        <v>2024</v>
      </c>
      <c r="C104" s="2">
        <f t="shared" ref="C104:C135" si="5">B104-A104</f>
        <v>0</v>
      </c>
      <c r="D104" s="15">
        <v>25.074000000000002</v>
      </c>
      <c r="E104" s="15">
        <v>94</v>
      </c>
    </row>
    <row r="105" spans="1:5" ht="15" customHeight="1" x14ac:dyDescent="0.25">
      <c r="A105" s="2">
        <v>2024</v>
      </c>
      <c r="B105" s="2">
        <v>2025</v>
      </c>
      <c r="C105" s="2">
        <f t="shared" si="5"/>
        <v>1</v>
      </c>
      <c r="D105" s="15">
        <v>6952.9229999999998</v>
      </c>
      <c r="E105" s="15">
        <v>36794</v>
      </c>
    </row>
    <row r="106" spans="1:5" ht="15" customHeight="1" x14ac:dyDescent="0.25">
      <c r="A106" s="2">
        <v>2024</v>
      </c>
      <c r="B106" s="2">
        <v>2026</v>
      </c>
      <c r="C106" s="2">
        <f t="shared" si="5"/>
        <v>2</v>
      </c>
      <c r="D106" s="15">
        <v>19114.922999999999</v>
      </c>
      <c r="E106" s="15">
        <v>106583</v>
      </c>
    </row>
    <row r="107" spans="1:5" ht="15" customHeight="1" x14ac:dyDescent="0.25">
      <c r="A107" s="2">
        <v>2024</v>
      </c>
      <c r="B107" s="2">
        <v>2027</v>
      </c>
      <c r="C107" s="2">
        <f t="shared" si="5"/>
        <v>3</v>
      </c>
      <c r="D107" s="15">
        <v>17651.938999999998</v>
      </c>
      <c r="E107" s="15">
        <v>97438</v>
      </c>
    </row>
    <row r="108" spans="1:5" x14ac:dyDescent="0.25">
      <c r="A108">
        <v>2024</v>
      </c>
      <c r="B108">
        <v>2028</v>
      </c>
      <c r="C108">
        <f t="shared" si="5"/>
        <v>4</v>
      </c>
      <c r="D108">
        <v>13722.797</v>
      </c>
      <c r="E108">
        <v>76516</v>
      </c>
    </row>
    <row r="109" spans="1:5" x14ac:dyDescent="0.25">
      <c r="A109">
        <v>2024</v>
      </c>
      <c r="B109">
        <v>2029</v>
      </c>
      <c r="C109">
        <f t="shared" si="5"/>
        <v>5</v>
      </c>
      <c r="D109">
        <v>16118.441000000001</v>
      </c>
      <c r="E109">
        <v>90055</v>
      </c>
    </row>
    <row r="110" spans="1:5" x14ac:dyDescent="0.25">
      <c r="A110">
        <v>2024</v>
      </c>
      <c r="B110">
        <v>2030</v>
      </c>
      <c r="C110">
        <f t="shared" si="5"/>
        <v>6</v>
      </c>
      <c r="D110">
        <v>10555.306</v>
      </c>
      <c r="E110">
        <v>60194</v>
      </c>
    </row>
    <row r="111" spans="1:5" x14ac:dyDescent="0.25">
      <c r="A111">
        <v>2024</v>
      </c>
      <c r="B111">
        <v>2031</v>
      </c>
      <c r="C111">
        <f t="shared" si="5"/>
        <v>7</v>
      </c>
      <c r="D111">
        <v>10124.299000000001</v>
      </c>
      <c r="E111">
        <v>54153</v>
      </c>
    </row>
    <row r="112" spans="1:5" x14ac:dyDescent="0.25">
      <c r="A112">
        <v>2024</v>
      </c>
      <c r="B112">
        <v>2032</v>
      </c>
      <c r="C112">
        <f t="shared" si="5"/>
        <v>8</v>
      </c>
      <c r="D112">
        <v>3542.922</v>
      </c>
      <c r="E112">
        <v>24588</v>
      </c>
    </row>
    <row r="113" spans="1:5" x14ac:dyDescent="0.25">
      <c r="A113">
        <v>2024</v>
      </c>
      <c r="B113">
        <v>2033</v>
      </c>
      <c r="C113">
        <f t="shared" si="5"/>
        <v>9</v>
      </c>
      <c r="D113">
        <v>3434.154</v>
      </c>
      <c r="E113">
        <v>19669</v>
      </c>
    </row>
    <row r="114" spans="1:5" x14ac:dyDescent="0.25">
      <c r="A114">
        <v>2024</v>
      </c>
      <c r="B114">
        <v>2034</v>
      </c>
      <c r="C114">
        <f t="shared" si="5"/>
        <v>10</v>
      </c>
      <c r="D114">
        <v>3478.855</v>
      </c>
      <c r="E114">
        <v>24005</v>
      </c>
    </row>
    <row r="115" spans="1:5" x14ac:dyDescent="0.25">
      <c r="A115">
        <v>2024</v>
      </c>
      <c r="B115">
        <v>2035</v>
      </c>
      <c r="C115">
        <f t="shared" si="5"/>
        <v>11</v>
      </c>
      <c r="D115">
        <v>7775.7979999999998</v>
      </c>
      <c r="E115">
        <v>39635</v>
      </c>
    </row>
    <row r="116" spans="1:5" x14ac:dyDescent="0.25">
      <c r="A116">
        <v>2025</v>
      </c>
      <c r="B116">
        <v>2025</v>
      </c>
      <c r="C116">
        <f t="shared" si="5"/>
        <v>0</v>
      </c>
      <c r="D116">
        <v>113.973</v>
      </c>
      <c r="E116">
        <v>1057</v>
      </c>
    </row>
    <row r="117" spans="1:5" x14ac:dyDescent="0.25">
      <c r="A117">
        <v>2025</v>
      </c>
      <c r="B117">
        <v>2026</v>
      </c>
      <c r="C117">
        <f t="shared" si="5"/>
        <v>1</v>
      </c>
      <c r="D117">
        <v>9356.9930000000004</v>
      </c>
      <c r="E117">
        <v>56786</v>
      </c>
    </row>
    <row r="118" spans="1:5" x14ac:dyDescent="0.25">
      <c r="A118">
        <v>2025</v>
      </c>
      <c r="B118">
        <v>2027</v>
      </c>
      <c r="C118">
        <f t="shared" si="5"/>
        <v>2</v>
      </c>
      <c r="D118">
        <v>15950.844999999999</v>
      </c>
      <c r="E118">
        <v>93814</v>
      </c>
    </row>
    <row r="119" spans="1:5" x14ac:dyDescent="0.25">
      <c r="A119">
        <v>2025</v>
      </c>
      <c r="B119">
        <v>2028</v>
      </c>
      <c r="C119">
        <f t="shared" si="5"/>
        <v>3</v>
      </c>
      <c r="D119">
        <v>15445.232</v>
      </c>
      <c r="E119">
        <v>89713</v>
      </c>
    </row>
    <row r="120" spans="1:5" x14ac:dyDescent="0.25">
      <c r="A120">
        <v>2025</v>
      </c>
      <c r="B120">
        <v>2029</v>
      </c>
      <c r="C120">
        <f t="shared" si="5"/>
        <v>4</v>
      </c>
      <c r="D120">
        <v>18455.187999999998</v>
      </c>
      <c r="E120">
        <v>109093</v>
      </c>
    </row>
    <row r="121" spans="1:5" x14ac:dyDescent="0.25">
      <c r="A121">
        <v>2025</v>
      </c>
      <c r="B121">
        <v>2030</v>
      </c>
      <c r="C121">
        <f t="shared" si="5"/>
        <v>5</v>
      </c>
      <c r="D121">
        <v>14895.22</v>
      </c>
      <c r="E121">
        <v>95229</v>
      </c>
    </row>
    <row r="122" spans="1:5" x14ac:dyDescent="0.25">
      <c r="A122">
        <v>2025</v>
      </c>
      <c r="B122">
        <v>2031</v>
      </c>
      <c r="C122">
        <f t="shared" si="5"/>
        <v>6</v>
      </c>
      <c r="D122">
        <v>14681.052</v>
      </c>
      <c r="E122">
        <v>82357</v>
      </c>
    </row>
    <row r="123" spans="1:5" x14ac:dyDescent="0.25">
      <c r="A123">
        <v>2025</v>
      </c>
      <c r="B123">
        <v>2032</v>
      </c>
      <c r="C123">
        <f t="shared" si="5"/>
        <v>7</v>
      </c>
      <c r="D123">
        <v>7218.9290000000001</v>
      </c>
      <c r="E123">
        <v>42991</v>
      </c>
    </row>
    <row r="124" spans="1:5" x14ac:dyDescent="0.25">
      <c r="A124">
        <v>2025</v>
      </c>
      <c r="B124">
        <v>2033</v>
      </c>
      <c r="C124">
        <f t="shared" si="5"/>
        <v>8</v>
      </c>
      <c r="D124">
        <v>4358.72</v>
      </c>
      <c r="E124">
        <v>26057</v>
      </c>
    </row>
    <row r="125" spans="1:5" x14ac:dyDescent="0.25">
      <c r="A125">
        <v>2025</v>
      </c>
      <c r="B125">
        <v>2034</v>
      </c>
      <c r="C125">
        <f t="shared" si="5"/>
        <v>9</v>
      </c>
      <c r="D125">
        <v>3534.1329999999998</v>
      </c>
      <c r="E125">
        <v>25142</v>
      </c>
    </row>
    <row r="126" spans="1:5" x14ac:dyDescent="0.25">
      <c r="A126">
        <v>2025</v>
      </c>
      <c r="B126">
        <v>2035</v>
      </c>
      <c r="C126">
        <f t="shared" si="5"/>
        <v>10</v>
      </c>
      <c r="D126">
        <v>5950.4840000000004</v>
      </c>
      <c r="E126">
        <v>36823</v>
      </c>
    </row>
    <row r="127" spans="1:5" x14ac:dyDescent="0.25">
      <c r="A127">
        <v>2025</v>
      </c>
      <c r="B127">
        <v>2036</v>
      </c>
      <c r="C127">
        <f t="shared" si="5"/>
        <v>11</v>
      </c>
      <c r="D127">
        <v>5649.6</v>
      </c>
      <c r="E127">
        <v>30422</v>
      </c>
    </row>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G81"/>
  <sheetViews>
    <sheetView zoomScaleNormal="100" workbookViewId="0">
      <selection activeCell="A12" sqref="A12"/>
    </sheetView>
  </sheetViews>
  <sheetFormatPr defaultColWidth="8.7109375" defaultRowHeight="15" x14ac:dyDescent="0.25"/>
  <cols>
    <col min="1" max="34" width="12.7109375" customWidth="1"/>
  </cols>
  <sheetData>
    <row r="1" spans="1:33" ht="30" customHeight="1" x14ac:dyDescent="0.4">
      <c r="A1" s="17" t="s">
        <v>522</v>
      </c>
    </row>
    <row r="3" spans="1:33" x14ac:dyDescent="0.25">
      <c r="A3" s="18" t="s">
        <v>523</v>
      </c>
    </row>
    <row r="4" spans="1:33" ht="17.25" customHeight="1" x14ac:dyDescent="0.25">
      <c r="A4" s="19" t="s">
        <v>524</v>
      </c>
    </row>
    <row r="6" spans="1:33" x14ac:dyDescent="0.25">
      <c r="A6" s="20"/>
      <c r="B6" s="20" t="s">
        <v>525</v>
      </c>
      <c r="C6" s="20" t="s">
        <v>525</v>
      </c>
      <c r="D6" s="20" t="s">
        <v>464</v>
      </c>
      <c r="E6" s="20" t="s">
        <v>526</v>
      </c>
      <c r="F6" s="20" t="s">
        <v>525</v>
      </c>
      <c r="G6" s="20" t="s">
        <v>464</v>
      </c>
      <c r="H6" s="20" t="s">
        <v>525</v>
      </c>
      <c r="I6" s="20" t="s">
        <v>525</v>
      </c>
      <c r="J6" s="20" t="s">
        <v>464</v>
      </c>
      <c r="K6" s="20" t="s">
        <v>464</v>
      </c>
      <c r="L6" s="20" t="s">
        <v>525</v>
      </c>
      <c r="M6" s="20" t="s">
        <v>525</v>
      </c>
      <c r="N6" s="20" t="s">
        <v>525</v>
      </c>
      <c r="O6" s="20" t="s">
        <v>464</v>
      </c>
      <c r="P6" s="20" t="s">
        <v>464</v>
      </c>
      <c r="Q6" s="20" t="s">
        <v>464</v>
      </c>
      <c r="R6" s="20" t="s">
        <v>525</v>
      </c>
      <c r="S6" s="20"/>
      <c r="T6" s="20"/>
      <c r="U6" s="20" t="s">
        <v>525</v>
      </c>
      <c r="V6" s="20" t="s">
        <v>464</v>
      </c>
      <c r="W6" s="20" t="s">
        <v>525</v>
      </c>
      <c r="X6" s="20" t="s">
        <v>525</v>
      </c>
      <c r="Y6" s="20" t="s">
        <v>37</v>
      </c>
      <c r="Z6" s="20" t="s">
        <v>464</v>
      </c>
      <c r="AA6" s="20" t="s">
        <v>464</v>
      </c>
      <c r="AB6" s="20" t="s">
        <v>464</v>
      </c>
      <c r="AC6" s="20" t="s">
        <v>464</v>
      </c>
      <c r="AD6" s="20" t="s">
        <v>525</v>
      </c>
      <c r="AE6" s="20" t="s">
        <v>525</v>
      </c>
      <c r="AF6" s="20" t="s">
        <v>525</v>
      </c>
      <c r="AG6" s="20" t="s">
        <v>525</v>
      </c>
    </row>
    <row r="7" spans="1:33" ht="75" customHeight="1" x14ac:dyDescent="0.25">
      <c r="A7" s="21" t="s">
        <v>468</v>
      </c>
      <c r="B7" s="21" t="s">
        <v>469</v>
      </c>
      <c r="C7" s="21" t="s">
        <v>470</v>
      </c>
      <c r="D7" s="21" t="s">
        <v>471</v>
      </c>
      <c r="E7" s="21" t="s">
        <v>472</v>
      </c>
      <c r="F7" s="21" t="s">
        <v>473</v>
      </c>
      <c r="G7" s="21" t="s">
        <v>474</v>
      </c>
      <c r="H7" s="21" t="s">
        <v>475</v>
      </c>
      <c r="I7" s="21" t="s">
        <v>476</v>
      </c>
      <c r="J7" s="21" t="s">
        <v>477</v>
      </c>
      <c r="K7" s="21" t="s">
        <v>478</v>
      </c>
      <c r="L7" s="21" t="s">
        <v>479</v>
      </c>
      <c r="M7" s="21" t="s">
        <v>480</v>
      </c>
      <c r="N7" s="21" t="s">
        <v>481</v>
      </c>
      <c r="O7" s="21" t="s">
        <v>482</v>
      </c>
      <c r="P7" s="21" t="s">
        <v>483</v>
      </c>
      <c r="Q7" s="21" t="s">
        <v>484</v>
      </c>
      <c r="R7" s="21" t="s">
        <v>485</v>
      </c>
      <c r="S7" s="21" t="s">
        <v>486</v>
      </c>
      <c r="T7" s="21" t="s">
        <v>487</v>
      </c>
      <c r="U7" s="21" t="s">
        <v>488</v>
      </c>
      <c r="V7" s="21" t="s">
        <v>489</v>
      </c>
      <c r="W7" s="21" t="s">
        <v>490</v>
      </c>
      <c r="X7" s="21" t="s">
        <v>491</v>
      </c>
      <c r="Y7" s="21" t="s">
        <v>492</v>
      </c>
      <c r="Z7" s="21" t="s">
        <v>493</v>
      </c>
      <c r="AA7" s="21" t="s">
        <v>494</v>
      </c>
      <c r="AB7" s="21" t="s">
        <v>495</v>
      </c>
      <c r="AC7" s="21" t="s">
        <v>496</v>
      </c>
      <c r="AD7" s="21" t="s">
        <v>497</v>
      </c>
      <c r="AE7" s="21" t="s">
        <v>498</v>
      </c>
      <c r="AF7" s="21" t="s">
        <v>499</v>
      </c>
      <c r="AG7" s="21" t="s">
        <v>500</v>
      </c>
    </row>
    <row r="8" spans="1:33" x14ac:dyDescent="0.25">
      <c r="A8" s="22">
        <v>2025</v>
      </c>
      <c r="B8" s="23">
        <f>EGP!B8*$F$33+FR!B8*$G$33+STAG!B8*$H$33</f>
        <v>580.76577935402781</v>
      </c>
      <c r="C8">
        <f>EGP!C8*$F$33+FR!C8*$G$33+STAG!C8*$H$33</f>
        <v>82.947810910047622</v>
      </c>
      <c r="D8" s="23">
        <f t="shared" ref="D8:D17" si="0">B8-C8</f>
        <v>497.81796844398019</v>
      </c>
      <c r="E8">
        <f>(EGP!G8*$F$33+FR!G8*$G$33+STAG!G8*$H$33)/F8</f>
        <v>63.96640034980782</v>
      </c>
      <c r="F8">
        <f>EGP!F8*$F$33+FR!F8*$G$33+STAG!F8*$H$33</f>
        <v>127.81841330437609</v>
      </c>
      <c r="G8" s="23">
        <f t="shared" ref="G8:G17" si="1">E8*F8</f>
        <v>8176.0837975049235</v>
      </c>
      <c r="H8" s="23">
        <f>EGP!H8*$F$33+FR!H8*$G$33+STAG!H8*$H$33</f>
        <v>1183.1040070419558</v>
      </c>
      <c r="I8" s="23">
        <f>EGP!I8*$F$33+FR!I8*$G$33+STAG!I8*$H$33</f>
        <v>366.06066499471115</v>
      </c>
      <c r="J8" s="23">
        <f t="shared" ref="J8:J17" si="2">H8+I8</f>
        <v>1549.1646720366671</v>
      </c>
      <c r="K8" s="23">
        <f t="shared" ref="K8:K17" si="3">G8-J8</f>
        <v>6626.9191254682564</v>
      </c>
      <c r="L8" s="23">
        <f>EGP!L8*$F$33+FR!L8*$G$33+STAG!L8*$H$33</f>
        <v>2470.4356948086361</v>
      </c>
      <c r="M8" s="23">
        <f>EGP!M8*$F$33+FR!M8*$G$33+STAG!M8*$H$33</f>
        <v>4.2119699276439349</v>
      </c>
      <c r="N8" s="23">
        <f>EGP!N8*$F$33+FR!N8*$G$33+STAG!N8*$H$33</f>
        <v>0</v>
      </c>
      <c r="O8" s="23">
        <f t="shared" ref="O8:O17" si="4">SUM(L8:N8)</f>
        <v>2474.6476647362801</v>
      </c>
      <c r="P8" s="23">
        <f t="shared" ref="P8:P17" si="5">G8+O8</f>
        <v>10650.731462241203</v>
      </c>
      <c r="Q8" s="23">
        <f t="shared" ref="Q8:Q17" si="6">K8+O8</f>
        <v>9101.566790204537</v>
      </c>
      <c r="R8" s="23">
        <f>EGP!R8*$F$33+FR!R8*$G$33+STAG!R8*$H$33</f>
        <v>456.62920047041615</v>
      </c>
      <c r="S8" s="23"/>
      <c r="T8" s="23"/>
      <c r="U8" s="23">
        <f>EGP!U8*$F$33+FR!U8*$G$33+STAG!U8*$H$33</f>
        <v>50.432182023542438</v>
      </c>
      <c r="V8" s="23">
        <f t="shared" ref="V8:V17" si="7">R8-U8</f>
        <v>406.1970184468737</v>
      </c>
      <c r="W8" s="23">
        <f>EGP!W8*$F$33+FR!W8*$G$33+STAG!W8*$H$33</f>
        <v>468.77946919712417</v>
      </c>
      <c r="X8" s="23">
        <f>EGP!X8*$F$33+FR!X8*$G$33+STAG!X8*$H$33</f>
        <v>274.37074138561661</v>
      </c>
      <c r="Y8" s="24">
        <f>SUMIF('10 YR UST'!$A$2:$A$27,A8,'10 YR UST'!$B$2:$B$27)/100</f>
        <v>4.1799999999999997E-2</v>
      </c>
      <c r="Z8" s="24">
        <f t="shared" ref="Z8:Z17" si="8">B8/Q8</f>
        <v>6.3809428941297305E-2</v>
      </c>
      <c r="AA8" s="24">
        <f t="shared" ref="AA8:AA17" si="9">D8/K8</f>
        <v>7.5120573982982553E-2</v>
      </c>
      <c r="AB8" s="25">
        <f t="shared" ref="AB8:AB17" si="10">Q8/B8</f>
        <v>15.671665090749659</v>
      </c>
      <c r="AC8" s="25">
        <f t="shared" ref="AC8:AC17" si="11">K8/D8</f>
        <v>13.311932363915844</v>
      </c>
      <c r="AD8" s="24">
        <f>EGP!AD8*$F$33+FR!AD8*$G$33+STAG!AD8*$H$33</f>
        <v>0.43443605335629765</v>
      </c>
      <c r="AE8" s="24">
        <f>EGP!AE8*$F$33+FR!AE8*$G$33+STAG!AE8*$H$33</f>
        <v>0.96000240724067176</v>
      </c>
      <c r="AF8" s="26">
        <f>EGP!AF8*$F$33+FR!AF8*$G$33+STAG!AF8*$H$33</f>
        <v>4.681071830195517</v>
      </c>
      <c r="AG8" s="26">
        <f>EGP!AG8*$F$33+FR!AG8*$G$33+STAG!AG8*$H$33</f>
        <v>4.655686688625579</v>
      </c>
    </row>
    <row r="9" spans="1:33" x14ac:dyDescent="0.25">
      <c r="A9" s="22">
        <v>2024</v>
      </c>
      <c r="B9" s="23">
        <f>EGP!B9*$F$34+FR!B9*$G$34+STAG!B9*$H$34</f>
        <v>523.54656140024451</v>
      </c>
      <c r="C9">
        <f>EGP!C9*$F$34+FR!C9*$G$34+STAG!C9*$H$34</f>
        <v>78.45298600177864</v>
      </c>
      <c r="D9" s="23">
        <f t="shared" si="0"/>
        <v>445.09357539846587</v>
      </c>
      <c r="E9">
        <f>(EGP!G9*$F$34+FR!G9*$G$34+STAG!G9*$H$34)/F9</f>
        <v>57.100660163990156</v>
      </c>
      <c r="F9">
        <f>EGP!F9*$F$34+FR!F9*$G$34+STAG!F9*$H$34</f>
        <v>126.12393998911236</v>
      </c>
      <c r="G9" s="23">
        <f t="shared" si="1"/>
        <v>7201.7602358617933</v>
      </c>
      <c r="H9" s="23">
        <f>EGP!H9*$F$34+FR!H9*$G$34+STAG!H9*$H$34</f>
        <v>1116.3279262206797</v>
      </c>
      <c r="I9" s="23">
        <f>EGP!I9*$F$34+FR!I9*$G$34+STAG!I9*$H$34</f>
        <v>357.51311235263142</v>
      </c>
      <c r="J9" s="23">
        <f t="shared" si="2"/>
        <v>1473.8410385733112</v>
      </c>
      <c r="K9" s="23">
        <f t="shared" si="3"/>
        <v>5727.9191972884819</v>
      </c>
      <c r="L9" s="23">
        <f>EGP!L9*$F$34+FR!L9*$G$34+STAG!L9*$H$34</f>
        <v>2251.948092249937</v>
      </c>
      <c r="M9" s="23">
        <f>EGP!M9*$F$34+FR!M9*$G$34+STAG!M9*$H$34</f>
        <v>4.3593513699431883</v>
      </c>
      <c r="N9" s="23">
        <f>EGP!N9*$F$34+FR!N9*$G$34+STAG!N9*$H$34</f>
        <v>0</v>
      </c>
      <c r="O9" s="23">
        <f t="shared" si="4"/>
        <v>2256.3074436198804</v>
      </c>
      <c r="P9" s="23">
        <f t="shared" si="5"/>
        <v>9458.0676794816736</v>
      </c>
      <c r="Q9" s="23">
        <f t="shared" si="6"/>
        <v>7984.2266409083622</v>
      </c>
      <c r="R9" s="23">
        <f>EGP!R9*$F$34+FR!R9*$G$34+STAG!R9*$H$34</f>
        <v>406.92865858137668</v>
      </c>
      <c r="S9" s="23"/>
      <c r="T9" s="23"/>
      <c r="U9" s="23">
        <f>EGP!U9*$F$34+FR!U9*$G$34+STAG!U9*$H$34</f>
        <v>44.708583381515474</v>
      </c>
      <c r="V9" s="23">
        <f t="shared" si="7"/>
        <v>362.22007519986118</v>
      </c>
      <c r="W9" s="23">
        <f>EGP!W9*$F$34+FR!W9*$G$34+STAG!W9*$H$34</f>
        <v>413.089254205982</v>
      </c>
      <c r="X9" s="23">
        <f>EGP!X9*$F$34+FR!X9*$G$34+STAG!X9*$H$34</f>
        <v>243.03892190820329</v>
      </c>
      <c r="Y9" s="24">
        <f>SUMIF('10 YR UST'!$A$2:$A$27,A9,'10 YR UST'!$B$2:$B$27)/100</f>
        <v>4.58E-2</v>
      </c>
      <c r="Z9" s="24">
        <f t="shared" si="8"/>
        <v>6.5572607711030712E-2</v>
      </c>
      <c r="AA9" s="24">
        <f t="shared" si="9"/>
        <v>7.7705980141823061E-2</v>
      </c>
      <c r="AB9" s="25">
        <f t="shared" si="10"/>
        <v>15.250270423998689</v>
      </c>
      <c r="AC9" s="25">
        <f t="shared" si="11"/>
        <v>12.86902241210877</v>
      </c>
      <c r="AD9" s="24">
        <f>EGP!AD9*$F$34+FR!AD9*$G$34+STAG!AD9*$H$34</f>
        <v>0.54049328779493522</v>
      </c>
      <c r="AE9" s="24">
        <f>EGP!AE9*$F$34+FR!AE9*$G$34+STAG!AE9*$H$34</f>
        <v>0.9661893535681092</v>
      </c>
      <c r="AF9" s="26">
        <f>EGP!AF9*$F$34+FR!AF9*$G$34+STAG!AF9*$H$34</f>
        <v>4.7771767591637868</v>
      </c>
      <c r="AG9" s="26">
        <f>EGP!AG9*$F$34+FR!AG9*$G$34+STAG!AG9*$H$34</f>
        <v>4.7938430692271634</v>
      </c>
    </row>
    <row r="10" spans="1:33" x14ac:dyDescent="0.25">
      <c r="A10" s="22">
        <v>2023</v>
      </c>
      <c r="B10" s="23">
        <f>EGP!B10*$F$35+FR!B10*$G$35+STAG!B10*$H$35</f>
        <v>477.85231806603326</v>
      </c>
      <c r="C10">
        <f>EGP!C10*$F$35+FR!C10*$G$35+STAG!C10*$H$35</f>
        <v>72.291104028156525</v>
      </c>
      <c r="D10" s="23">
        <f t="shared" si="0"/>
        <v>405.56121403787677</v>
      </c>
      <c r="E10">
        <f>(EGP!G10*$F$35+FR!G10*$G$35+STAG!G10*$H$35)/F10</f>
        <v>63.372222255440846</v>
      </c>
      <c r="F10">
        <f>EGP!F10*$F$35+FR!F10*$G$35+STAG!F10*$H$35</f>
        <v>122.49018110664319</v>
      </c>
      <c r="G10" s="23">
        <f t="shared" si="1"/>
        <v>7762.4749811993934</v>
      </c>
      <c r="H10" s="23">
        <f>EGP!H10*$F$35+FR!H10*$G$35+STAG!H10*$H$35</f>
        <v>1045.7819203359197</v>
      </c>
      <c r="I10" s="23">
        <f>EGP!I10*$F$35+FR!I10*$G$35+STAG!I10*$H$35</f>
        <v>331.97198288761683</v>
      </c>
      <c r="J10" s="23">
        <f t="shared" si="2"/>
        <v>1377.7539032235366</v>
      </c>
      <c r="K10" s="23">
        <f t="shared" si="3"/>
        <v>6384.721077975857</v>
      </c>
      <c r="L10" s="23">
        <f>EGP!L10*$F$35+FR!L10*$G$35+STAG!L10*$H$35</f>
        <v>2169.148672657338</v>
      </c>
      <c r="M10" s="23">
        <f>EGP!M10*$F$35+FR!M10*$G$35+STAG!M10*$H$35</f>
        <v>4.4633274706644768</v>
      </c>
      <c r="N10" s="23">
        <f>EGP!N10*$F$35+FR!N10*$G$35+STAG!N10*$H$35</f>
        <v>0</v>
      </c>
      <c r="O10" s="23">
        <f t="shared" si="4"/>
        <v>2173.6120001280024</v>
      </c>
      <c r="P10" s="23">
        <f t="shared" si="5"/>
        <v>9936.0869813273966</v>
      </c>
      <c r="Q10" s="23">
        <f t="shared" si="6"/>
        <v>8558.3330781038603</v>
      </c>
      <c r="R10" s="23">
        <f>EGP!R10*$F$35+FR!R10*$G$35+STAG!R10*$H$35</f>
        <v>370.10111745676704</v>
      </c>
      <c r="S10" s="23"/>
      <c r="T10" s="23"/>
      <c r="U10" s="23">
        <f>EGP!U10*$F$35+FR!U10*$G$35+STAG!U10*$H$35</f>
        <v>41.486910168301407</v>
      </c>
      <c r="V10" s="23">
        <f t="shared" si="7"/>
        <v>328.61420728846565</v>
      </c>
      <c r="W10" s="23">
        <f>EGP!W10*$F$35+FR!W10*$G$35+STAG!W10*$H$35</f>
        <v>347.46807856342707</v>
      </c>
      <c r="X10" s="23">
        <f>EGP!X10*$F$35+FR!X10*$G$35+STAG!X10*$H$35</f>
        <v>224.35287917257855</v>
      </c>
      <c r="Y10" s="24">
        <f>SUMIF('10 YR UST'!$A$2:$A$27,A10,'10 YR UST'!$B$2:$B$27)/100</f>
        <v>3.8800000000000001E-2</v>
      </c>
      <c r="Z10" s="24">
        <f t="shared" si="8"/>
        <v>5.5834741848105746E-2</v>
      </c>
      <c r="AA10" s="24">
        <f t="shared" si="9"/>
        <v>6.35205843896397E-2</v>
      </c>
      <c r="AB10" s="25">
        <f t="shared" si="10"/>
        <v>17.90999594339355</v>
      </c>
      <c r="AC10" s="25">
        <f t="shared" si="11"/>
        <v>15.742928211521642</v>
      </c>
      <c r="AD10" s="24">
        <f>EGP!AD10*$F$35+FR!AD10*$G$35+STAG!AD10*$H$35</f>
        <v>0.59372097407425839</v>
      </c>
      <c r="AE10" s="24">
        <f>EGP!AE10*$F$35+FR!AE10*$G$35+STAG!AE10*$H$35</f>
        <v>0.97594796934870898</v>
      </c>
      <c r="AF10" s="26">
        <f>EGP!AF10*$F$35+FR!AF10*$G$35+STAG!AF10*$H$35</f>
        <v>4.8132422689382928</v>
      </c>
      <c r="AG10" s="26">
        <f>EGP!AG10*$F$35+FR!AG10*$G$35+STAG!AG10*$H$35</f>
        <v>4.8156655831686042</v>
      </c>
    </row>
    <row r="11" spans="1:33" x14ac:dyDescent="0.25">
      <c r="A11" s="22">
        <v>2022</v>
      </c>
      <c r="B11" s="23">
        <f>EGP!B11*$F$36+FR!B11*$G$36+STAG!B11*$H$36</f>
        <v>430.6319914214626</v>
      </c>
      <c r="C11">
        <f>EGP!C11*$F$36+FR!C11*$G$36+STAG!C11*$H$36</f>
        <v>55.954867395188735</v>
      </c>
      <c r="D11" s="23">
        <f t="shared" si="0"/>
        <v>374.67712402627387</v>
      </c>
      <c r="E11">
        <f>(EGP!G11*$F$36+FR!G11*$G$36+STAG!G11*$H$36)/F11</f>
        <v>51.394899870607581</v>
      </c>
      <c r="F11">
        <f>EGP!F11*$F$36+FR!F11*$G$36+STAG!F11*$H$36</f>
        <v>122.24557424110833</v>
      </c>
      <c r="G11" s="23">
        <f t="shared" si="1"/>
        <v>6282.7990477466883</v>
      </c>
      <c r="H11" s="23">
        <f>EGP!H11*$F$36+FR!H11*$G$36+STAG!H11*$H$36</f>
        <v>986.67774931383474</v>
      </c>
      <c r="I11" s="23">
        <f>EGP!I11*$F$36+FR!I11*$G$36+STAG!I11*$H$36</f>
        <v>288.73073071702072</v>
      </c>
      <c r="J11" s="23">
        <f t="shared" si="2"/>
        <v>1275.4084800308556</v>
      </c>
      <c r="K11" s="23">
        <f t="shared" si="3"/>
        <v>5007.3905677158327</v>
      </c>
      <c r="L11" s="23">
        <f>EGP!L11*$F$36+FR!L11*$G$36+STAG!L11*$H$36</f>
        <v>2147.3687472679649</v>
      </c>
      <c r="M11" s="23">
        <f>EGP!M11*$F$36+FR!M11*$G$36+STAG!M11*$H$36</f>
        <v>6.7181201618808979</v>
      </c>
      <c r="N11" s="23">
        <f>EGP!N11*$F$36+FR!N11*$G$36+STAG!N11*$H$36</f>
        <v>0</v>
      </c>
      <c r="O11" s="23">
        <f t="shared" si="4"/>
        <v>2154.0868674298458</v>
      </c>
      <c r="P11" s="23">
        <f t="shared" si="5"/>
        <v>8436.8859151765337</v>
      </c>
      <c r="Q11" s="23">
        <f t="shared" si="6"/>
        <v>7161.4774351456781</v>
      </c>
      <c r="R11" s="23">
        <f>EGP!R11*$F$36+FR!R11*$G$36+STAG!R11*$H$36</f>
        <v>339.3408769742</v>
      </c>
      <c r="S11" s="23"/>
      <c r="T11" s="23"/>
      <c r="U11" s="23">
        <f>EGP!U11*$F$36+FR!U11*$G$36+STAG!U11*$H$36</f>
        <v>42.102647547638085</v>
      </c>
      <c r="V11" s="23">
        <f t="shared" si="7"/>
        <v>297.23822942656193</v>
      </c>
      <c r="W11" s="23">
        <f>EGP!W11*$F$36+FR!W11*$G$36+STAG!W11*$H$36</f>
        <v>371.62271891507976</v>
      </c>
      <c r="X11" s="23">
        <f>EGP!X11*$F$36+FR!X11*$G$36+STAG!X11*$H$36</f>
        <v>208.00834842935814</v>
      </c>
      <c r="Y11" s="24">
        <f>SUMIF('10 YR UST'!$A$2:$A$27,A11,'10 YR UST'!$B$2:$B$27)/100</f>
        <v>3.8800000000000001E-2</v>
      </c>
      <c r="Z11" s="24">
        <f t="shared" si="8"/>
        <v>6.0131724957770916E-2</v>
      </c>
      <c r="AA11" s="24">
        <f t="shared" si="9"/>
        <v>7.4824825217735369E-2</v>
      </c>
      <c r="AB11" s="25">
        <f t="shared" si="10"/>
        <v>16.630156555500051</v>
      </c>
      <c r="AC11" s="25">
        <f t="shared" si="11"/>
        <v>13.36454842480507</v>
      </c>
      <c r="AD11" s="24">
        <f>EGP!AD11*$F$36+FR!AD11*$G$36+STAG!AD11*$H$36</f>
        <v>0.35089396824799918</v>
      </c>
      <c r="AE11" s="24">
        <f>EGP!AE11*$F$36+FR!AE11*$G$36+STAG!AE11*$H$36</f>
        <v>0.98659528497993865</v>
      </c>
      <c r="AF11" s="26">
        <f>EGP!AF11*$F$36+FR!AF11*$G$36+STAG!AF11*$H$36</f>
        <v>4.9477218899503308</v>
      </c>
      <c r="AG11" s="26">
        <f>EGP!AG11*$F$36+FR!AG11*$G$36+STAG!AG11*$H$36</f>
        <v>4.9481625008970429</v>
      </c>
    </row>
    <row r="12" spans="1:33" x14ac:dyDescent="0.25">
      <c r="A12" s="22">
        <v>2021</v>
      </c>
      <c r="B12" s="23">
        <f>EGP!B12*$F$37+FR!B12*$G$37+STAG!B12*$H$37</f>
        <v>366.81705929992688</v>
      </c>
      <c r="C12">
        <f>EGP!C12*$F$37+FR!C12*$G$37+STAG!C12*$H$37</f>
        <v>47.190169204032593</v>
      </c>
      <c r="D12" s="23">
        <f t="shared" si="0"/>
        <v>319.62689009589428</v>
      </c>
      <c r="E12">
        <f>(EGP!G12*$F$37+FR!G12*$G$37+STAG!G12*$H$37)/F12</f>
        <v>75.293194694357467</v>
      </c>
      <c r="F12">
        <f>EGP!F12*$F$37+FR!F12*$G$37+STAG!F12*$H$37</f>
        <v>119.56591599474345</v>
      </c>
      <c r="G12" s="23">
        <f t="shared" si="1"/>
        <v>9002.4997918014087</v>
      </c>
      <c r="H12" s="23">
        <f>EGP!H12*$F$37+FR!H12*$G$37+STAG!H12*$H$37</f>
        <v>829.2168634595813</v>
      </c>
      <c r="I12" s="23">
        <f>EGP!I12*$F$37+FR!I12*$G$37+STAG!I12*$H$37</f>
        <v>257.20259123121474</v>
      </c>
      <c r="J12" s="23">
        <f t="shared" si="2"/>
        <v>1086.4194546907961</v>
      </c>
      <c r="K12" s="23">
        <f t="shared" si="3"/>
        <v>7916.0803371106122</v>
      </c>
      <c r="L12" s="23">
        <f>EGP!L12*$F$37+FR!L12*$G$37+STAG!L12*$H$37</f>
        <v>1727.287652535189</v>
      </c>
      <c r="M12" s="23">
        <f>EGP!M12*$F$37+FR!M12*$G$37+STAG!M12*$H$37</f>
        <v>44.596095794262659</v>
      </c>
      <c r="N12" s="23">
        <f>EGP!N12*$F$37+FR!N12*$G$37+STAG!N12*$H$37</f>
        <v>0</v>
      </c>
      <c r="O12" s="23">
        <f t="shared" si="4"/>
        <v>1771.8837483294517</v>
      </c>
      <c r="P12" s="23">
        <f t="shared" si="5"/>
        <v>10774.383540130861</v>
      </c>
      <c r="Q12" s="23">
        <f t="shared" si="6"/>
        <v>9687.9640854400641</v>
      </c>
      <c r="R12" s="23">
        <f>EGP!R12*$F$37+FR!R12*$G$37+STAG!R12*$H$37</f>
        <v>285.62670781118959</v>
      </c>
      <c r="S12" s="23"/>
      <c r="T12" s="23"/>
      <c r="U12" s="23">
        <f>EGP!U12*$F$37+FR!U12*$G$37+STAG!U12*$H$37</f>
        <v>37.878308847905132</v>
      </c>
      <c r="V12" s="23">
        <f t="shared" si="7"/>
        <v>247.74839896328444</v>
      </c>
      <c r="W12" s="23">
        <f>EGP!W12*$F$37+FR!W12*$G$37+STAG!W12*$H$37</f>
        <v>287.90423152168017</v>
      </c>
      <c r="X12" s="23">
        <f>EGP!X12*$F$37+FR!X12*$G$37+STAG!X12*$H$37</f>
        <v>174.56701054266387</v>
      </c>
      <c r="Y12" s="24">
        <f>SUMIF('10 YR UST'!$A$2:$A$27,A12,'10 YR UST'!$B$2:$B$27)/100</f>
        <v>1.52E-2</v>
      </c>
      <c r="Z12" s="24">
        <f t="shared" si="8"/>
        <v>3.7863172908662229E-2</v>
      </c>
      <c r="AA12" s="24">
        <f t="shared" si="9"/>
        <v>4.0376913381927455E-2</v>
      </c>
      <c r="AB12" s="25">
        <f t="shared" si="10"/>
        <v>26.410887497788725</v>
      </c>
      <c r="AC12" s="25">
        <f t="shared" si="11"/>
        <v>24.766628160526903</v>
      </c>
      <c r="AD12" s="24">
        <f>EGP!AD12*$F$37+FR!AD12*$G$37+STAG!AD12*$H$37</f>
        <v>0.25746236110792747</v>
      </c>
      <c r="AE12" s="24">
        <f>EGP!AE12*$F$37+FR!AE12*$G$37+STAG!AE12*$H$37</f>
        <v>0.97878093183525094</v>
      </c>
      <c r="AF12" s="26">
        <f>EGP!AF12*$F$37+FR!AF12*$G$37+STAG!AF12*$H$37</f>
        <v>4.939011532322457</v>
      </c>
      <c r="AG12" s="26">
        <f>EGP!AG12*$F$37+FR!AG12*$G$37+STAG!AG12*$H$37</f>
        <v>4.9623610102963234</v>
      </c>
    </row>
    <row r="13" spans="1:33" x14ac:dyDescent="0.25">
      <c r="A13" s="22">
        <v>2020</v>
      </c>
      <c r="B13" s="23">
        <f>EGP!B13*$F$38+FR!B13*$G$38+STAG!B13*$H$38</f>
        <v>329.12111813183537</v>
      </c>
      <c r="C13">
        <f>EGP!C13*$F$38+FR!C13*$G$38+STAG!C13*$H$38</f>
        <v>49.481896887489441</v>
      </c>
      <c r="D13" s="23">
        <f t="shared" si="0"/>
        <v>279.63922124434595</v>
      </c>
      <c r="E13">
        <f>(EGP!G13*$F$38+FR!G13*$G$38+STAG!G13*$H$38)/F13</f>
        <v>47.761247490531829</v>
      </c>
      <c r="F13">
        <f>EGP!F13*$F$38+FR!F13*$G$38+STAG!F13*$H$38</f>
        <v>112.14630639097669</v>
      </c>
      <c r="G13" s="23">
        <f t="shared" si="1"/>
        <v>5356.2474946884495</v>
      </c>
      <c r="H13" s="23">
        <f>EGP!H13*$F$38+FR!H13*$G$38+STAG!H13*$H$38</f>
        <v>691.22731239168922</v>
      </c>
      <c r="I13" s="23">
        <f>EGP!I13*$F$38+FR!I13*$G$38+STAG!I13*$H$38</f>
        <v>148.59156314368619</v>
      </c>
      <c r="J13" s="23">
        <f t="shared" si="2"/>
        <v>839.81887553537535</v>
      </c>
      <c r="K13" s="23">
        <f t="shared" si="3"/>
        <v>4516.4286191530737</v>
      </c>
      <c r="L13" s="23">
        <f>EGP!L13*$F$38+FR!L13*$G$38+STAG!L13*$H$38</f>
        <v>1449.2284500894416</v>
      </c>
      <c r="M13" s="23">
        <f>EGP!M13*$F$38+FR!M13*$G$38+STAG!M13*$H$38</f>
        <v>90.876097476143741</v>
      </c>
      <c r="N13" s="23">
        <f>EGP!N13*$F$38+FR!N13*$G$38+STAG!N13*$H$38</f>
        <v>26.020458018659859</v>
      </c>
      <c r="O13" s="23">
        <f t="shared" si="4"/>
        <v>1566.1250055842452</v>
      </c>
      <c r="P13" s="23">
        <f t="shared" si="5"/>
        <v>6922.3725002726951</v>
      </c>
      <c r="Q13" s="23">
        <f t="shared" si="6"/>
        <v>6082.5536247373184</v>
      </c>
      <c r="R13" s="23">
        <f>EGP!R13*$F$38+FR!R13*$G$38+STAG!R13*$H$38</f>
        <v>247.656425536607</v>
      </c>
      <c r="S13" s="23"/>
      <c r="T13" s="23"/>
      <c r="U13" s="23">
        <f>EGP!U13*$F$38+FR!U13*$G$38+STAG!U13*$H$38</f>
        <v>30.429361147764148</v>
      </c>
      <c r="V13" s="23">
        <f t="shared" si="7"/>
        <v>217.22706438884285</v>
      </c>
      <c r="W13" s="23">
        <f>EGP!W13*$F$38+FR!W13*$G$38+STAG!W13*$H$38</f>
        <v>244.63923966453734</v>
      </c>
      <c r="X13" s="23">
        <f>EGP!X13*$F$38+FR!X13*$G$38+STAG!X13*$H$38</f>
        <v>158.51045537425301</v>
      </c>
      <c r="Y13" s="24">
        <f>SUMIF('10 YR UST'!$A$2:$A$27,A13,'10 YR UST'!$B$2:$B$27)/100</f>
        <v>9.300000000000001E-3</v>
      </c>
      <c r="Z13" s="24">
        <f t="shared" si="8"/>
        <v>5.410903683501004E-2</v>
      </c>
      <c r="AA13" s="24">
        <f t="shared" si="9"/>
        <v>6.1916005947368263E-2</v>
      </c>
      <c r="AB13" s="25">
        <f t="shared" si="10"/>
        <v>18.481201264942356</v>
      </c>
      <c r="AC13" s="25">
        <f t="shared" si="11"/>
        <v>16.1509125903575</v>
      </c>
      <c r="AD13" s="24">
        <f>EGP!AD13*$F$38+FR!AD13*$G$38+STAG!AD13*$H$38</f>
        <v>0.19556110874163646</v>
      </c>
      <c r="AE13" s="24">
        <f>EGP!AE13*$F$38+FR!AE13*$G$38+STAG!AE13*$H$38</f>
        <v>0.96863937775879883</v>
      </c>
      <c r="AF13" s="26">
        <f>EGP!AF13*$F$38+FR!AF13*$G$38+STAG!AF13*$H$38</f>
        <v>4.9269118195947383</v>
      </c>
      <c r="AG13" s="26">
        <f>EGP!AG13*$F$38+FR!AG13*$G$38+STAG!AG13*$H$38</f>
        <v>4.9350944570358708</v>
      </c>
    </row>
    <row r="14" spans="1:33" x14ac:dyDescent="0.25">
      <c r="A14" s="22">
        <v>2019</v>
      </c>
      <c r="B14" s="23">
        <f>EGP!B14*$F$39+FR!B14*$G$39+STAG!B14*$H$39</f>
        <v>294.05084777518709</v>
      </c>
      <c r="C14">
        <f>EGP!C14*$F$39+FR!C14*$G$39+STAG!C14*$H$39</f>
        <v>46.729290869756966</v>
      </c>
      <c r="D14" s="23">
        <f t="shared" si="0"/>
        <v>247.32155690543013</v>
      </c>
      <c r="E14">
        <f>(EGP!G14*$F$39+FR!G14*$G$39+STAG!G14*$H$39)/F14</f>
        <v>47.454000583782694</v>
      </c>
      <c r="F14">
        <f>EGP!F14*$F$39+FR!F14*$G$39+STAG!F14*$H$39</f>
        <v>106.42708035335228</v>
      </c>
      <c r="G14" s="23">
        <f t="shared" si="1"/>
        <v>5050.3907332182671</v>
      </c>
      <c r="H14" s="23">
        <f>EGP!H14*$F$39+FR!H14*$G$39+STAG!H14*$H$39</f>
        <v>617.76093885138573</v>
      </c>
      <c r="I14" s="23">
        <f>EGP!I14*$F$39+FR!I14*$G$39+STAG!I14*$H$39</f>
        <v>174.59011031127542</v>
      </c>
      <c r="J14" s="23">
        <f t="shared" si="2"/>
        <v>792.35104916266118</v>
      </c>
      <c r="K14" s="23">
        <f t="shared" si="3"/>
        <v>4258.0396840556059</v>
      </c>
      <c r="L14" s="23">
        <f>EGP!L14*$F$39+FR!L14*$G$39+STAG!L14*$H$39</f>
        <v>1322.9119842985565</v>
      </c>
      <c r="M14" s="23">
        <f>EGP!M14*$F$39+FR!M14*$G$39+STAG!M14*$H$39</f>
        <v>119.98498843485665</v>
      </c>
      <c r="N14" s="23">
        <f>EGP!N14*$F$39+FR!N14*$G$39+STAG!N14*$H$39</f>
        <v>25.700009739206084</v>
      </c>
      <c r="O14" s="23">
        <f t="shared" si="4"/>
        <v>1468.5969824726192</v>
      </c>
      <c r="P14" s="23">
        <f t="shared" si="5"/>
        <v>6518.987715690886</v>
      </c>
      <c r="Q14" s="23">
        <f t="shared" si="6"/>
        <v>5726.6366665282249</v>
      </c>
      <c r="R14" s="23">
        <f>EGP!R14*$F$39+FR!R14*$G$39+STAG!R14*$H$39</f>
        <v>217.21232930782827</v>
      </c>
      <c r="S14" s="23"/>
      <c r="T14" s="23"/>
      <c r="U14" s="23">
        <f>EGP!U14*$F$39+FR!U14*$G$39+STAG!U14*$H$39</f>
        <v>26.646505192305355</v>
      </c>
      <c r="V14" s="23">
        <f t="shared" si="7"/>
        <v>190.5658241155229</v>
      </c>
      <c r="W14" s="23">
        <f>EGP!W14*$F$39+FR!W14*$G$39+STAG!W14*$H$39</f>
        <v>225.53427765985614</v>
      </c>
      <c r="X14" s="23">
        <f>EGP!X14*$F$39+FR!X14*$G$39+STAG!X14*$H$39</f>
        <v>139.3265630541307</v>
      </c>
      <c r="Y14" s="24">
        <f>SUMIF('10 YR UST'!$A$2:$A$27,A14,'10 YR UST'!$B$2:$B$27)/100</f>
        <v>1.9199999999999998E-2</v>
      </c>
      <c r="Z14" s="24">
        <f t="shared" si="8"/>
        <v>5.134791412451447E-2</v>
      </c>
      <c r="AA14" s="24">
        <f t="shared" si="9"/>
        <v>5.8083431639102671E-2</v>
      </c>
      <c r="AB14" s="25">
        <f t="shared" si="10"/>
        <v>19.474987777986119</v>
      </c>
      <c r="AC14" s="25">
        <f t="shared" si="11"/>
        <v>17.216613615625018</v>
      </c>
      <c r="AD14" s="24">
        <f>EGP!AD14*$F$39+FR!AD14*$G$39+STAG!AD14*$H$39</f>
        <v>0.20647802167844237</v>
      </c>
      <c r="AE14" s="24">
        <f>EGP!AE14*$F$39+FR!AE14*$G$39+STAG!AE14*$H$39</f>
        <v>0.96709066329040849</v>
      </c>
      <c r="AF14" s="26">
        <f>EGP!AF14*$F$39+FR!AF14*$G$39+STAG!AF14*$H$39</f>
        <v>4.9364509920164172</v>
      </c>
      <c r="AG14" s="26">
        <f>EGP!AG14*$F$39+FR!AG14*$G$39+STAG!AG14*$H$39</f>
        <v>4.8921195163016131</v>
      </c>
    </row>
    <row r="15" spans="1:33" x14ac:dyDescent="0.25">
      <c r="A15" s="22">
        <v>2018</v>
      </c>
      <c r="B15" s="23">
        <f>EGP!B15*$F$40+FR!B15*$G$40+STAG!B15*$H$40</f>
        <v>261.80505663995257</v>
      </c>
      <c r="C15">
        <f>EGP!C15*$F$40+FR!C15*$G$40+STAG!C15*$H$40</f>
        <v>45.126661126986903</v>
      </c>
      <c r="D15" s="23">
        <f t="shared" si="0"/>
        <v>216.67839551296566</v>
      </c>
      <c r="E15">
        <f>(EGP!G15*$F$40+FR!G15*$G$40+STAG!G15*$H$40)/F15</f>
        <v>34.957330021584099</v>
      </c>
      <c r="F15">
        <f>EGP!F15*$F$40+FR!F15*$G$40+STAG!F15*$H$40</f>
        <v>95.23532713023755</v>
      </c>
      <c r="G15" s="23">
        <f t="shared" si="1"/>
        <v>3329.1727602052356</v>
      </c>
      <c r="H15" s="23">
        <f>EGP!H15*$F$40+FR!H15*$G$40+STAG!H15*$H$40</f>
        <v>561.07913408410855</v>
      </c>
      <c r="I15" s="23">
        <f>EGP!I15*$F$40+FR!I15*$G$40+STAG!I15*$H$40</f>
        <v>106.41699195041498</v>
      </c>
      <c r="J15" s="23">
        <f t="shared" si="2"/>
        <v>667.49612603452351</v>
      </c>
      <c r="K15" s="23">
        <f t="shared" si="3"/>
        <v>2661.6766341707121</v>
      </c>
      <c r="L15" s="23">
        <f>EGP!L15*$F$40+FR!L15*$G$40+STAG!L15*$H$40</f>
        <v>1113.4876402026212</v>
      </c>
      <c r="M15" s="23">
        <f>EGP!M15*$F$40+FR!M15*$G$40+STAG!M15*$H$40</f>
        <v>183.04101527901483</v>
      </c>
      <c r="N15" s="23">
        <f>EGP!N15*$F$40+FR!N15*$G$40+STAG!N15*$H$40</f>
        <v>24.676363592565409</v>
      </c>
      <c r="O15" s="23">
        <f t="shared" si="4"/>
        <v>1321.2050190742013</v>
      </c>
      <c r="P15" s="23">
        <f t="shared" si="5"/>
        <v>4650.3777792794372</v>
      </c>
      <c r="Q15" s="23">
        <f t="shared" si="6"/>
        <v>3982.8816532449137</v>
      </c>
      <c r="R15" s="23">
        <f>EGP!R15*$F$40+FR!R15*$G$40+STAG!R15*$H$40</f>
        <v>188.21151019596516</v>
      </c>
      <c r="S15" s="23"/>
      <c r="T15" s="23"/>
      <c r="U15" s="23">
        <f>EGP!U15*$F$40+FR!U15*$G$40+STAG!U15*$H$40</f>
        <v>26.972345772903342</v>
      </c>
      <c r="V15" s="23">
        <f t="shared" si="7"/>
        <v>161.23916442306182</v>
      </c>
      <c r="W15" s="23">
        <f>EGP!W15*$F$40+FR!W15*$G$40+STAG!W15*$H$40</f>
        <v>191.69252079125908</v>
      </c>
      <c r="X15" s="23">
        <f>EGP!X15*$F$40+FR!X15*$G$40+STAG!X15*$H$40</f>
        <v>113.59405211755015</v>
      </c>
      <c r="Y15" s="24">
        <f>SUMIF('10 YR UST'!$A$2:$A$27,A15,'10 YR UST'!$B$2:$B$27)/100</f>
        <v>2.69E-2</v>
      </c>
      <c r="Z15" s="24">
        <f t="shared" si="8"/>
        <v>6.5732572401857842E-2</v>
      </c>
      <c r="AA15" s="24">
        <f t="shared" si="9"/>
        <v>8.1406731655994449E-2</v>
      </c>
      <c r="AB15" s="25">
        <f t="shared" si="10"/>
        <v>15.213157852494698</v>
      </c>
      <c r="AC15" s="25">
        <f t="shared" si="11"/>
        <v>12.28399641722214</v>
      </c>
      <c r="AD15" s="24">
        <f>EGP!AD15*$F$40+FR!AD15*$G$40+STAG!AD15*$H$40</f>
        <v>0.17343020378045831</v>
      </c>
      <c r="AE15" s="24">
        <f>EGP!AE15*$F$40+FR!AE15*$G$40+STAG!AE15*$H$40</f>
        <v>0.97129708138728432</v>
      </c>
      <c r="AF15" s="26">
        <f>EGP!AF15*$F$40+FR!AF15*$G$40+STAG!AF15*$H$40</f>
        <v>4.8379081295106783</v>
      </c>
      <c r="AG15" s="26">
        <f>EGP!AG15*$F$40+FR!AG15*$G$40+STAG!AG15*$H$40</f>
        <v>4.7943455273430207</v>
      </c>
    </row>
    <row r="16" spans="1:33" x14ac:dyDescent="0.25">
      <c r="A16" s="22">
        <v>2017</v>
      </c>
      <c r="B16" s="23">
        <f>EGP!B16*$F$41+FR!B16*$G$41+STAG!B16*$H$41</f>
        <v>242.51223719954487</v>
      </c>
      <c r="C16">
        <f>EGP!C16*$F$41+FR!C16*$G$41+STAG!C16*$H$41</f>
        <v>45.45387415513413</v>
      </c>
      <c r="D16" s="23">
        <f t="shared" si="0"/>
        <v>197.05836304441073</v>
      </c>
      <c r="E16">
        <f>(EGP!G16*$F$41+FR!G16*$G$41+STAG!G16*$H$41)/F16</f>
        <v>36.85405680951073</v>
      </c>
      <c r="F16">
        <f>EGP!F16*$F$41+FR!F16*$G$41+STAG!F16*$H$41</f>
        <v>88.820292684022434</v>
      </c>
      <c r="G16" s="23">
        <f t="shared" si="1"/>
        <v>3273.3881124143331</v>
      </c>
      <c r="H16" s="23">
        <f>EGP!H16*$F$41+FR!H16*$G$41+STAG!H16*$H$41</f>
        <v>527.15271581019147</v>
      </c>
      <c r="I16" s="23">
        <f>EGP!I16*$F$41+FR!I16*$G$41+STAG!I16*$H$41</f>
        <v>116.01002231137267</v>
      </c>
      <c r="J16" s="23">
        <f t="shared" si="2"/>
        <v>643.16273812156419</v>
      </c>
      <c r="K16" s="23">
        <f t="shared" si="3"/>
        <v>2630.2253742927687</v>
      </c>
      <c r="L16" s="23">
        <f>EGP!L16*$F$41+FR!L16*$G$41+STAG!L16*$H$41</f>
        <v>953.34324044872585</v>
      </c>
      <c r="M16" s="23">
        <f>EGP!M16*$F$41+FR!M16*$G$41+STAG!M16*$H$41</f>
        <v>245.05253747790184</v>
      </c>
      <c r="N16" s="23">
        <f>EGP!N16*$F$41+FR!N16*$G$41+STAG!N16*$H$41</f>
        <v>47.084386802330236</v>
      </c>
      <c r="O16" s="23">
        <f t="shared" si="4"/>
        <v>1245.480164728958</v>
      </c>
      <c r="P16" s="23">
        <f t="shared" si="5"/>
        <v>4518.8682771432914</v>
      </c>
      <c r="Q16" s="23">
        <f t="shared" si="6"/>
        <v>3875.7055390217265</v>
      </c>
      <c r="R16" s="23">
        <f>EGP!R16*$F$41+FR!R16*$G$41+STAG!R16*$H$41</f>
        <v>167.12356089199864</v>
      </c>
      <c r="S16" s="23"/>
      <c r="T16" s="23"/>
      <c r="U16" s="23">
        <f>EGP!U16*$F$41+FR!U16*$G$41+STAG!U16*$H$41</f>
        <v>26.638365984593893</v>
      </c>
      <c r="V16" s="23">
        <f t="shared" si="7"/>
        <v>140.48519490740475</v>
      </c>
      <c r="W16" s="23">
        <f>EGP!W16*$F$41+FR!W16*$G$41+STAG!W16*$H$41</f>
        <v>171.16283782086307</v>
      </c>
      <c r="X16" s="23">
        <f>EGP!X16*$F$41+FR!X16*$G$41+STAG!X16*$H$41</f>
        <v>109.38512209927239</v>
      </c>
      <c r="Y16" s="24">
        <f>SUMIF('10 YR UST'!$A$2:$A$27,A16,'10 YR UST'!$B$2:$B$27)/100</f>
        <v>2.4E-2</v>
      </c>
      <c r="Z16" s="24">
        <f t="shared" si="8"/>
        <v>6.2572410302553019E-2</v>
      </c>
      <c r="AA16" s="24">
        <f t="shared" si="9"/>
        <v>7.4920714008166314E-2</v>
      </c>
      <c r="AB16" s="25">
        <f t="shared" si="10"/>
        <v>15.981484414053313</v>
      </c>
      <c r="AC16" s="25">
        <f t="shared" si="11"/>
        <v>13.347443537324011</v>
      </c>
      <c r="AD16" s="24">
        <f>EGP!AD16*$F$41+FR!AD16*$G$41+STAG!AD16*$H$41</f>
        <v>0.15372665650895767</v>
      </c>
      <c r="AE16" s="24">
        <f>EGP!AE16*$F$41+FR!AE16*$G$41+STAG!AE16*$H$41</f>
        <v>0.96557418883621282</v>
      </c>
      <c r="AF16" s="26">
        <f>EGP!AF16*$F$41+FR!AF16*$G$41+STAG!AF16*$H$41</f>
        <v>4.6713731358264248</v>
      </c>
      <c r="AG16" s="26">
        <f>EGP!AG16*$F$41+FR!AG16*$G$41+STAG!AG16*$H$41</f>
        <v>4.639994087622604</v>
      </c>
    </row>
    <row r="17" spans="1:33" x14ac:dyDescent="0.25">
      <c r="A17" s="22">
        <v>2016</v>
      </c>
      <c r="B17" s="23">
        <f>EGP!B17*$F$42+FR!B17*$G$42+STAG!B17*$H$42</f>
        <v>220.040897295609</v>
      </c>
      <c r="C17">
        <f>EGP!C17*$F$42+FR!C17*$G$42+STAG!C17*$H$42</f>
        <v>47.158236607624083</v>
      </c>
      <c r="D17" s="23">
        <f t="shared" si="0"/>
        <v>172.88266068798492</v>
      </c>
      <c r="E17">
        <f>(EGP!G17*$F$42+FR!G17*$G$42+STAG!G17*$H$42)/F17</f>
        <v>32.352057034952367</v>
      </c>
      <c r="F17">
        <f>EGP!F17*$F$42+FR!F17*$G$42+STAG!F17*$H$42</f>
        <v>83.410330588770847</v>
      </c>
      <c r="G17" s="23">
        <f t="shared" si="1"/>
        <v>2698.4957725121467</v>
      </c>
      <c r="H17" s="23">
        <f>EGP!H17*$F$42+FR!H17*$G$42+STAG!H17*$H$42</f>
        <v>491.55111862823168</v>
      </c>
      <c r="I17" s="23">
        <f>EGP!I17*$F$42+FR!I17*$G$42+STAG!I17*$H$42</f>
        <v>118.73624021400984</v>
      </c>
      <c r="J17" s="23">
        <f t="shared" si="2"/>
        <v>610.28735884224147</v>
      </c>
      <c r="K17" s="23">
        <f t="shared" si="3"/>
        <v>2088.208413669905</v>
      </c>
      <c r="L17" s="23">
        <f>EGP!L17*$F$42+FR!L17*$G$42+STAG!L17*$H$42</f>
        <v>855.3047774975405</v>
      </c>
      <c r="M17" s="23">
        <f>EGP!M17*$F$42+FR!M17*$G$42+STAG!M17*$H$42</f>
        <v>324.5117602696094</v>
      </c>
      <c r="N17" s="23">
        <f>EGP!N17*$F$42+FR!N17*$G$42+STAG!N17*$H$42</f>
        <v>43.204960861592447</v>
      </c>
      <c r="O17" s="23">
        <f t="shared" si="4"/>
        <v>1223.0214986287424</v>
      </c>
      <c r="P17" s="23">
        <f t="shared" si="5"/>
        <v>3921.5172711408891</v>
      </c>
      <c r="Q17" s="23">
        <f t="shared" si="6"/>
        <v>3311.2299122986474</v>
      </c>
      <c r="R17" s="23">
        <f>EGP!R17*$F$42+FR!R17*$G$42+STAG!R17*$H$42</f>
        <v>144.41101314149552</v>
      </c>
      <c r="S17" s="23"/>
      <c r="T17" s="23"/>
      <c r="U17" s="23">
        <f>EGP!U17*$F$42+FR!U17*$G$42+STAG!U17*$H$42</f>
        <v>26.315922820293043</v>
      </c>
      <c r="V17" s="23">
        <f t="shared" si="7"/>
        <v>118.09509032120248</v>
      </c>
      <c r="W17" s="23">
        <f>EGP!W17*$F$42+FR!W17*$G$42+STAG!W17*$H$42</f>
        <v>151.57176543125729</v>
      </c>
      <c r="X17" s="23">
        <f>EGP!X17*$F$42+FR!X17*$G$42+STAG!X17*$H$42</f>
        <v>92.50316135100141</v>
      </c>
      <c r="Y17" s="24">
        <f>SUMIF('10 YR UST'!$A$2:$A$27,A17,'10 YR UST'!$B$2:$B$27)/100</f>
        <v>2.4500000000000001E-2</v>
      </c>
      <c r="Z17" s="24">
        <f t="shared" si="8"/>
        <v>6.6452920251272182E-2</v>
      </c>
      <c r="AA17" s="24">
        <f t="shared" si="9"/>
        <v>8.2789945465334899E-2</v>
      </c>
      <c r="AB17" s="25">
        <f t="shared" si="10"/>
        <v>15.048247634848762</v>
      </c>
      <c r="AC17" s="25">
        <f t="shared" si="11"/>
        <v>12.078761429051932</v>
      </c>
      <c r="AD17" s="24">
        <f>EGP!AD17*$F$42+FR!AD17*$G$42+STAG!AD17*$H$42</f>
        <v>0.12016375807478329</v>
      </c>
      <c r="AE17" s="24">
        <f>EGP!AE17*$F$42+FR!AE17*$G$42+STAG!AE17*$H$42</f>
        <v>0.96007377241549363</v>
      </c>
      <c r="AF17" s="26">
        <f>EGP!AF17*$F$42+FR!AF17*$G$42+STAG!AF17*$H$42</f>
        <v>4.5691814934831809</v>
      </c>
      <c r="AG17" s="26">
        <f>EGP!AG17*$F$42+FR!AG17*$G$42+STAG!AG17*$H$42</f>
        <v>4.4971032578173027</v>
      </c>
    </row>
    <row r="20" spans="1:33" ht="15.75" customHeight="1" x14ac:dyDescent="0.25">
      <c r="A20" s="27" t="s">
        <v>527</v>
      </c>
    </row>
    <row r="21" spans="1:33" x14ac:dyDescent="0.25">
      <c r="A21" s="28" t="s">
        <v>528</v>
      </c>
    </row>
    <row r="22" spans="1:33" x14ac:dyDescent="0.25">
      <c r="A22" s="28" t="s">
        <v>529</v>
      </c>
    </row>
    <row r="23" spans="1:33" x14ac:dyDescent="0.25">
      <c r="A23" s="28" t="s">
        <v>530</v>
      </c>
    </row>
    <row r="24" spans="1:33" x14ac:dyDescent="0.25">
      <c r="A24" s="28" t="s">
        <v>531</v>
      </c>
    </row>
    <row r="25" spans="1:33" x14ac:dyDescent="0.25">
      <c r="A25" s="28" t="s">
        <v>532</v>
      </c>
    </row>
    <row r="26" spans="1:33" x14ac:dyDescent="0.25">
      <c r="A26" s="28" t="s">
        <v>533</v>
      </c>
    </row>
    <row r="27" spans="1:33" x14ac:dyDescent="0.25">
      <c r="A27" s="28" t="s">
        <v>534</v>
      </c>
    </row>
    <row r="31" spans="1:33" x14ac:dyDescent="0.25">
      <c r="A31" s="22" t="s">
        <v>535</v>
      </c>
    </row>
    <row r="32" spans="1:33" ht="39" customHeight="1" x14ac:dyDescent="0.25">
      <c r="A32" s="29" t="s">
        <v>468</v>
      </c>
      <c r="B32" s="29" t="s">
        <v>536</v>
      </c>
      <c r="C32" s="29" t="s">
        <v>537</v>
      </c>
      <c r="D32" s="29" t="s">
        <v>538</v>
      </c>
      <c r="E32" s="29" t="s">
        <v>539</v>
      </c>
      <c r="F32" s="29" t="s">
        <v>540</v>
      </c>
      <c r="G32" s="29" t="s">
        <v>541</v>
      </c>
      <c r="H32" s="29" t="s">
        <v>542</v>
      </c>
    </row>
    <row r="33" spans="1:33" x14ac:dyDescent="0.25">
      <c r="A33" s="30">
        <v>2025</v>
      </c>
      <c r="B33" s="23">
        <f>EGP!Q8</f>
        <v>9468.8432319999993</v>
      </c>
      <c r="C33" s="23">
        <f>FR!Q8</f>
        <v>8277.6939797800005</v>
      </c>
      <c r="D33" s="23">
        <f>STAG!Q8</f>
        <v>9455.0380236799992</v>
      </c>
      <c r="E33" s="23">
        <f t="shared" ref="E33:E42" si="12">B33+C33+D33</f>
        <v>27201.575235459997</v>
      </c>
      <c r="F33" s="31">
        <f t="shared" ref="F33:F42" si="13">B33/E33</f>
        <v>0.34809907698493897</v>
      </c>
      <c r="G33" s="31">
        <f t="shared" ref="G33:G42" si="14">C33/E33</f>
        <v>0.30430936106189876</v>
      </c>
      <c r="H33" s="31">
        <f t="shared" ref="H33:H42" si="15">D33/E33</f>
        <v>0.34759156195316232</v>
      </c>
    </row>
    <row r="34" spans="1:33" x14ac:dyDescent="0.25">
      <c r="A34" s="30">
        <v>2024</v>
      </c>
      <c r="B34" s="23">
        <f>EGP!Q9</f>
        <v>8258.4723210199991</v>
      </c>
      <c r="C34" s="23">
        <f>FR!Q9</f>
        <v>7077.37264727</v>
      </c>
      <c r="D34" s="23">
        <f>STAG!Q9</f>
        <v>8474.3295194599996</v>
      </c>
      <c r="E34" s="23">
        <f t="shared" si="12"/>
        <v>23810.174487749999</v>
      </c>
      <c r="F34" s="31">
        <f t="shared" si="13"/>
        <v>0.34684635869715558</v>
      </c>
      <c r="G34" s="31">
        <f t="shared" si="14"/>
        <v>0.29724152802455139</v>
      </c>
      <c r="H34" s="31">
        <f t="shared" si="15"/>
        <v>0.35591211327829297</v>
      </c>
    </row>
    <row r="35" spans="1:33" x14ac:dyDescent="0.25">
      <c r="A35" s="30">
        <v>2023</v>
      </c>
      <c r="B35" s="23">
        <f>EGP!Q10</f>
        <v>8975.7532892799991</v>
      </c>
      <c r="C35" s="23">
        <f>FR!Q10</f>
        <v>7367.5336346800004</v>
      </c>
      <c r="D35" s="23">
        <f>STAG!Q10</f>
        <v>9110.0940262999993</v>
      </c>
      <c r="E35" s="23">
        <f t="shared" si="12"/>
        <v>25453.380950259998</v>
      </c>
      <c r="F35" s="31">
        <f t="shared" si="13"/>
        <v>0.35263501170316297</v>
      </c>
      <c r="G35" s="31">
        <f t="shared" si="14"/>
        <v>0.2894520633261784</v>
      </c>
      <c r="H35" s="31">
        <f t="shared" si="15"/>
        <v>0.35791292497065869</v>
      </c>
    </row>
    <row r="36" spans="1:33" x14ac:dyDescent="0.25">
      <c r="A36" s="30">
        <v>2022</v>
      </c>
      <c r="B36" s="23">
        <f>EGP!Q11</f>
        <v>7044.6443043399995</v>
      </c>
      <c r="C36" s="23">
        <f>FR!Q11</f>
        <v>6690.8392019399998</v>
      </c>
      <c r="D36" s="23">
        <f>STAG!Q11</f>
        <v>7678.75071776</v>
      </c>
      <c r="E36" s="23">
        <f t="shared" si="12"/>
        <v>21414.234224039999</v>
      </c>
      <c r="F36" s="31">
        <f t="shared" si="13"/>
        <v>0.3289701714587373</v>
      </c>
      <c r="G36" s="31">
        <f t="shared" si="14"/>
        <v>0.31244821234040415</v>
      </c>
      <c r="H36" s="31">
        <f t="shared" si="15"/>
        <v>0.35858161620085849</v>
      </c>
    </row>
    <row r="37" spans="1:33" x14ac:dyDescent="0.25">
      <c r="A37" s="30">
        <v>2021</v>
      </c>
      <c r="B37" s="23">
        <f>EGP!Q12</f>
        <v>9805.7655611000009</v>
      </c>
      <c r="C37" s="23">
        <f>FR!Q12</f>
        <v>8899.8068336000015</v>
      </c>
      <c r="D37" s="23">
        <f>STAG!Q12</f>
        <v>10259.09752376</v>
      </c>
      <c r="E37" s="23">
        <f t="shared" si="12"/>
        <v>28964.66991846</v>
      </c>
      <c r="F37" s="31">
        <f t="shared" si="13"/>
        <v>0.33854228578142748</v>
      </c>
      <c r="G37" s="31">
        <f t="shared" si="14"/>
        <v>0.30726422426543532</v>
      </c>
      <c r="H37" s="31">
        <f t="shared" si="15"/>
        <v>0.35419348995313726</v>
      </c>
    </row>
    <row r="38" spans="1:33" x14ac:dyDescent="0.25">
      <c r="A38" s="30">
        <v>2020</v>
      </c>
      <c r="B38" s="23">
        <f>EGP!Q13</f>
        <v>5926.3508736799995</v>
      </c>
      <c r="C38" s="23">
        <f>FR!Q13</f>
        <v>5980.40066002</v>
      </c>
      <c r="D38" s="23">
        <f>STAG!Q13</f>
        <v>6325.4803105199999</v>
      </c>
      <c r="E38" s="23">
        <f t="shared" si="12"/>
        <v>18232.231844220001</v>
      </c>
      <c r="F38" s="31">
        <f t="shared" si="13"/>
        <v>0.3250480206875373</v>
      </c>
      <c r="G38" s="31">
        <f t="shared" si="14"/>
        <v>0.32801253906366445</v>
      </c>
      <c r="H38" s="31">
        <f t="shared" si="15"/>
        <v>0.34693944024879814</v>
      </c>
    </row>
    <row r="39" spans="1:33" x14ac:dyDescent="0.25">
      <c r="A39" s="30">
        <v>2019</v>
      </c>
      <c r="B39" s="23">
        <f>EGP!Q14</f>
        <v>5474.2111845099989</v>
      </c>
      <c r="C39" s="23">
        <f>FR!Q14</f>
        <v>5807.894885220001</v>
      </c>
      <c r="D39" s="23">
        <f>STAG!Q14</f>
        <v>5881.3446886500005</v>
      </c>
      <c r="E39" s="23">
        <f t="shared" si="12"/>
        <v>17163.45075838</v>
      </c>
      <c r="F39" s="31">
        <f t="shared" si="13"/>
        <v>0.31894583796543552</v>
      </c>
      <c r="G39" s="31">
        <f t="shared" si="14"/>
        <v>0.3383873655118167</v>
      </c>
      <c r="H39" s="31">
        <f t="shared" si="15"/>
        <v>0.34266679652274779</v>
      </c>
    </row>
    <row r="40" spans="1:33" x14ac:dyDescent="0.25">
      <c r="A40" s="30">
        <v>2018</v>
      </c>
      <c r="B40" s="23">
        <f>EGP!Q15</f>
        <v>3809.7083858800006</v>
      </c>
      <c r="C40" s="23">
        <f>FR!Q15</f>
        <v>4194.4549182800001</v>
      </c>
      <c r="D40" s="23">
        <f>STAG!Q15</f>
        <v>3924.8682735999996</v>
      </c>
      <c r="E40" s="23">
        <f t="shared" si="12"/>
        <v>11929.031577760001</v>
      </c>
      <c r="F40" s="31">
        <f t="shared" si="13"/>
        <v>0.31936443130745545</v>
      </c>
      <c r="G40" s="31">
        <f t="shared" si="14"/>
        <v>0.35161738745833909</v>
      </c>
      <c r="H40" s="31">
        <f t="shared" si="15"/>
        <v>0.32901818123420545</v>
      </c>
    </row>
    <row r="41" spans="1:33" x14ac:dyDescent="0.25">
      <c r="A41" s="30">
        <v>2017</v>
      </c>
      <c r="B41" s="23">
        <f>EGP!Q16</f>
        <v>3592.7707994599996</v>
      </c>
      <c r="C41" s="23">
        <f>FR!Q16</f>
        <v>4221.5713894700002</v>
      </c>
      <c r="D41" s="23">
        <f>STAG!Q16</f>
        <v>3757.6592558999996</v>
      </c>
      <c r="E41" s="23">
        <f t="shared" si="12"/>
        <v>11572.001444829999</v>
      </c>
      <c r="F41" s="31">
        <f t="shared" si="13"/>
        <v>0.310470994718475</v>
      </c>
      <c r="G41" s="31">
        <f t="shared" si="14"/>
        <v>0.36480909629993724</v>
      </c>
      <c r="H41" s="31">
        <f t="shared" si="15"/>
        <v>0.32471990898158781</v>
      </c>
    </row>
    <row r="42" spans="1:33" x14ac:dyDescent="0.25">
      <c r="A42" s="30">
        <v>2016</v>
      </c>
      <c r="B42" s="23">
        <f>EGP!Q17</f>
        <v>2959.7446079200004</v>
      </c>
      <c r="C42" s="23">
        <f>FR!Q17</f>
        <v>3883.3697440500005</v>
      </c>
      <c r="D42" s="23">
        <f>STAG!Q17</f>
        <v>2904.4292359500005</v>
      </c>
      <c r="E42" s="23">
        <f t="shared" si="12"/>
        <v>9747.5435879200013</v>
      </c>
      <c r="F42" s="31">
        <f t="shared" si="13"/>
        <v>0.30364004851314252</v>
      </c>
      <c r="G42" s="31">
        <f t="shared" si="14"/>
        <v>0.3983947041655303</v>
      </c>
      <c r="H42" s="31">
        <f t="shared" si="15"/>
        <v>0.29796524732132723</v>
      </c>
    </row>
    <row r="45" spans="1:33" x14ac:dyDescent="0.25">
      <c r="A45" s="22" t="s">
        <v>543</v>
      </c>
    </row>
    <row r="47" spans="1:33" x14ac:dyDescent="0.25">
      <c r="A47" s="22" t="s">
        <v>544</v>
      </c>
    </row>
    <row r="48" spans="1:33" x14ac:dyDescent="0.25">
      <c r="A48" s="28">
        <f>EGP!A8</f>
        <v>2025</v>
      </c>
      <c r="B48" s="23">
        <f>EGP!B8</f>
        <v>528.34500000000003</v>
      </c>
      <c r="C48">
        <f>EGP!C8</f>
        <v>32.113</v>
      </c>
      <c r="D48" s="23">
        <f>EGP!D8</f>
        <v>496.23200000000003</v>
      </c>
      <c r="E48">
        <f>EGP!E8</f>
        <v>178.14</v>
      </c>
      <c r="F48">
        <f>EGP!F8</f>
        <v>53.348799999999997</v>
      </c>
      <c r="G48" s="23">
        <f>EGP!G8</f>
        <v>9503.5552319999988</v>
      </c>
      <c r="H48" s="23">
        <f>EGP!H8</f>
        <v>951.78700000000003</v>
      </c>
      <c r="I48" s="23">
        <f>EGP!I8</f>
        <v>710.2</v>
      </c>
      <c r="J48" s="23">
        <f>EGP!J8</f>
        <v>1661.9870000000001</v>
      </c>
      <c r="K48" s="23">
        <f>EGP!K8</f>
        <v>7841.5682319999987</v>
      </c>
      <c r="L48" s="23">
        <f>EGP!L8</f>
        <v>1627.2750000000001</v>
      </c>
      <c r="M48" s="23">
        <f>EGP!M8</f>
        <v>0</v>
      </c>
      <c r="N48" s="23">
        <f>EGP!N8</f>
        <v>0</v>
      </c>
      <c r="O48" s="23">
        <f>EGP!O8</f>
        <v>1627.2750000000001</v>
      </c>
      <c r="P48" s="23">
        <f>EGP!P8</f>
        <v>11130.830231999998</v>
      </c>
      <c r="Q48" s="23">
        <f>EGP!Q8</f>
        <v>9468.8432319999993</v>
      </c>
      <c r="R48" s="23">
        <f>EGP!R8</f>
        <v>472.49</v>
      </c>
      <c r="S48" s="23">
        <f>EGP!S8</f>
        <v>28.391000000000002</v>
      </c>
      <c r="T48" s="23">
        <f>EGP!T8</f>
        <v>35.585000000000001</v>
      </c>
      <c r="U48" s="23">
        <f>EGP!U8</f>
        <v>63.975999999999999</v>
      </c>
      <c r="V48" s="23">
        <f>EGP!V8</f>
        <v>408.51400000000001</v>
      </c>
      <c r="W48" s="23">
        <f>EGP!W8</f>
        <v>480.73399999999998</v>
      </c>
      <c r="X48" s="23">
        <f>EGP!X8</f>
        <v>302.50700000000001</v>
      </c>
      <c r="Y48" s="24">
        <f>EGP!Y8</f>
        <v>4.1799999999999997E-2</v>
      </c>
      <c r="Z48" s="24">
        <f>EGP!Z8</f>
        <v>5.579826247565866E-2</v>
      </c>
      <c r="AA48" s="24">
        <f>EGP!AA8</f>
        <v>6.328223963861826E-2</v>
      </c>
      <c r="AB48" s="25">
        <f>EGP!AB8</f>
        <v>17.921705007144951</v>
      </c>
      <c r="AC48" s="25">
        <f>EGP!AC8</f>
        <v>15.802222009060275</v>
      </c>
      <c r="AD48" s="24">
        <f>EGP!AD8</f>
        <v>0.40100000000000002</v>
      </c>
      <c r="AE48" s="24">
        <f>EGP!AE8</f>
        <v>0.97</v>
      </c>
      <c r="AF48" s="26">
        <f>EGP!AF8</f>
        <v>4.097525424296748</v>
      </c>
      <c r="AG48" s="26">
        <f>EGP!AG8</f>
        <v>4.1074228983117829</v>
      </c>
    </row>
    <row r="49" spans="1:33" x14ac:dyDescent="0.25">
      <c r="A49" s="28">
        <f>EGP!A9</f>
        <v>2024</v>
      </c>
      <c r="B49" s="23">
        <f>EGP!B9</f>
        <v>464.995</v>
      </c>
      <c r="C49">
        <f>EGP!C9</f>
        <v>38.956000000000003</v>
      </c>
      <c r="D49" s="23">
        <f>EGP!D9</f>
        <v>426.03899999999999</v>
      </c>
      <c r="E49">
        <f>EGP!E9</f>
        <v>160.49</v>
      </c>
      <c r="F49">
        <f>EGP!F9</f>
        <v>51.825797999999999</v>
      </c>
      <c r="G49" s="23">
        <f>EGP!G9</f>
        <v>8317.5223210200002</v>
      </c>
      <c r="H49" s="23">
        <f>EGP!H9</f>
        <v>888.14</v>
      </c>
      <c r="I49" s="23">
        <f>EGP!I9</f>
        <v>674.47199999999998</v>
      </c>
      <c r="J49" s="23">
        <f>EGP!J9</f>
        <v>1562.6120000000001</v>
      </c>
      <c r="K49" s="23">
        <f>EGP!K9</f>
        <v>6754.9103210200001</v>
      </c>
      <c r="L49" s="23">
        <f>EGP!L9</f>
        <v>1503.5619999999999</v>
      </c>
      <c r="M49" s="23">
        <f>EGP!M9</f>
        <v>0</v>
      </c>
      <c r="N49" s="23">
        <f>EGP!N9</f>
        <v>0</v>
      </c>
      <c r="O49" s="23">
        <f>EGP!O9</f>
        <v>1503.5619999999999</v>
      </c>
      <c r="P49" s="23">
        <f>EGP!P9</f>
        <v>9821.0843210200001</v>
      </c>
      <c r="Q49" s="23">
        <f>EGP!Q9</f>
        <v>8258.4723210199991</v>
      </c>
      <c r="R49" s="23">
        <f>EGP!R9</f>
        <v>406.46100000000001</v>
      </c>
      <c r="S49" s="23">
        <f>EGP!S9</f>
        <v>21.503999999999998</v>
      </c>
      <c r="T49" s="23">
        <f>EGP!T9</f>
        <v>34.912999999999997</v>
      </c>
      <c r="U49" s="23">
        <f>EGP!U9</f>
        <v>56.416999999999994</v>
      </c>
      <c r="V49" s="23">
        <f>EGP!V9</f>
        <v>350.04400000000004</v>
      </c>
      <c r="W49" s="23">
        <f>EGP!W9</f>
        <v>416.58699999999999</v>
      </c>
      <c r="X49" s="23">
        <f>EGP!X9</f>
        <v>252.79400000000001</v>
      </c>
      <c r="Y49" s="24">
        <f>EGP!Y9</f>
        <v>4.58E-2</v>
      </c>
      <c r="Z49" s="24">
        <f>EGP!Z9</f>
        <v>5.6305207782372121E-2</v>
      </c>
      <c r="AA49" s="24">
        <f>EGP!AA9</f>
        <v>6.3071007571225246E-2</v>
      </c>
      <c r="AB49" s="25">
        <f>EGP!AB9</f>
        <v>17.760346500543015</v>
      </c>
      <c r="AC49" s="25">
        <f>EGP!AC9</f>
        <v>15.855145470297321</v>
      </c>
      <c r="AD49" s="24">
        <f>EGP!AD9</f>
        <v>0.53</v>
      </c>
      <c r="AE49" s="24">
        <f>EGP!AE9</f>
        <v>0.97099999999999997</v>
      </c>
      <c r="AF49" s="26">
        <f>EGP!AF9</f>
        <v>4.2509556808462357</v>
      </c>
      <c r="AG49" s="26">
        <f>EGP!AG9</f>
        <v>4.2749859026740404</v>
      </c>
    </row>
    <row r="50" spans="1:33" x14ac:dyDescent="0.25">
      <c r="A50" s="28">
        <f>EGP!A10</f>
        <v>2023</v>
      </c>
      <c r="B50" s="23">
        <f>EGP!B10</f>
        <v>413.32100000000003</v>
      </c>
      <c r="C50">
        <f>EGP!C10</f>
        <v>47.996000000000002</v>
      </c>
      <c r="D50" s="23">
        <f>EGP!D10</f>
        <v>365.32500000000005</v>
      </c>
      <c r="E50">
        <f>EGP!E10</f>
        <v>183.54</v>
      </c>
      <c r="F50">
        <f>EGP!F10</f>
        <v>47.700431999999999</v>
      </c>
      <c r="G50" s="23">
        <f>EGP!G10</f>
        <v>8754.9372892800002</v>
      </c>
      <c r="H50" s="23">
        <f>EGP!H10</f>
        <v>814.36400000000003</v>
      </c>
      <c r="I50" s="23">
        <f>EGP!I10</f>
        <v>639.64700000000005</v>
      </c>
      <c r="J50" s="23">
        <f>EGP!J10</f>
        <v>1454.011</v>
      </c>
      <c r="K50" s="23">
        <f>EGP!K10</f>
        <v>7300.9262892799998</v>
      </c>
      <c r="L50" s="23">
        <f>EGP!L10</f>
        <v>1674.827</v>
      </c>
      <c r="M50" s="23">
        <f>EGP!M10</f>
        <v>0</v>
      </c>
      <c r="N50" s="23">
        <f>EGP!N10</f>
        <v>0</v>
      </c>
      <c r="O50" s="23">
        <f>EGP!O10</f>
        <v>1674.827</v>
      </c>
      <c r="P50" s="23">
        <f>EGP!P10</f>
        <v>10429.76428928</v>
      </c>
      <c r="Q50" s="23">
        <f>EGP!Q10</f>
        <v>8975.7532892799991</v>
      </c>
      <c r="R50" s="23">
        <f>EGP!R10</f>
        <v>349.09</v>
      </c>
      <c r="S50" s="23">
        <f>EGP!S10</f>
        <v>19.855</v>
      </c>
      <c r="T50" s="23">
        <f>EGP!T10</f>
        <v>31.672000000000001</v>
      </c>
      <c r="U50" s="23">
        <f>EGP!U10</f>
        <v>51.527000000000001</v>
      </c>
      <c r="V50" s="23">
        <f>EGP!V10</f>
        <v>297.56299999999999</v>
      </c>
      <c r="W50" s="23">
        <f>EGP!W10</f>
        <v>338.202</v>
      </c>
      <c r="X50" s="23">
        <f>EGP!X10</f>
        <v>225.625</v>
      </c>
      <c r="Y50" s="24">
        <f>EGP!Y10</f>
        <v>3.8800000000000001E-2</v>
      </c>
      <c r="Z50" s="24">
        <f>EGP!Z10</f>
        <v>4.6048614158506473E-2</v>
      </c>
      <c r="AA50" s="24">
        <f>EGP!AA10</f>
        <v>5.0038171257311456E-2</v>
      </c>
      <c r="AB50" s="25">
        <f>EGP!AB10</f>
        <v>21.716180134278197</v>
      </c>
      <c r="AC50" s="25">
        <f>EGP!AC10</f>
        <v>19.984743144542527</v>
      </c>
      <c r="AD50" s="24">
        <f>EGP!AD10</f>
        <v>0.55000000000000004</v>
      </c>
      <c r="AE50" s="24">
        <f>EGP!AE10</f>
        <v>0.98699999999999999</v>
      </c>
      <c r="AF50" s="26">
        <f>EGP!AF10</f>
        <v>4.2724317175761808</v>
      </c>
      <c r="AG50" s="26">
        <f>EGP!AG10</f>
        <v>4.2649716500889818</v>
      </c>
    </row>
    <row r="51" spans="1:33" x14ac:dyDescent="0.25">
      <c r="A51" s="28">
        <f>EGP!A11</f>
        <v>2022</v>
      </c>
      <c r="B51" s="23">
        <f>EGP!B11</f>
        <v>354.03100000000001</v>
      </c>
      <c r="C51">
        <f>EGP!C11</f>
        <v>38.499000000000002</v>
      </c>
      <c r="D51" s="23">
        <f>EGP!D11</f>
        <v>315.53199999999998</v>
      </c>
      <c r="E51">
        <f>EGP!E11</f>
        <v>148.06</v>
      </c>
      <c r="F51">
        <f>EGP!F11</f>
        <v>43.575538999999999</v>
      </c>
      <c r="G51" s="23">
        <f>EGP!G11</f>
        <v>6451.7943043400001</v>
      </c>
      <c r="H51" s="23">
        <f>EGP!H11</f>
        <v>730.44500000000005</v>
      </c>
      <c r="I51" s="23">
        <f>EGP!I11</f>
        <v>538.44899999999996</v>
      </c>
      <c r="J51" s="23">
        <f>EGP!J11</f>
        <v>1268.894</v>
      </c>
      <c r="K51" s="23">
        <f>EGP!K11</f>
        <v>5182.9003043399998</v>
      </c>
      <c r="L51" s="23">
        <f>EGP!L11</f>
        <v>1859.713</v>
      </c>
      <c r="M51" s="23">
        <f>EGP!M11</f>
        <v>2.0310000000000001</v>
      </c>
      <c r="N51" s="23">
        <f>EGP!N11</f>
        <v>0</v>
      </c>
      <c r="O51" s="23">
        <f>EGP!O11</f>
        <v>1861.7439999999999</v>
      </c>
      <c r="P51" s="23">
        <f>EGP!P11</f>
        <v>8313.5383043399997</v>
      </c>
      <c r="Q51" s="23">
        <f>EGP!Q11</f>
        <v>7044.6443043399995</v>
      </c>
      <c r="R51" s="23">
        <f>EGP!R11</f>
        <v>298.928</v>
      </c>
      <c r="S51" s="23">
        <f>EGP!S11</f>
        <v>16.911000000000001</v>
      </c>
      <c r="T51" s="23">
        <f>EGP!T11</f>
        <v>36.853000000000002</v>
      </c>
      <c r="U51" s="23">
        <f>EGP!U11</f>
        <v>53.764000000000003</v>
      </c>
      <c r="V51" s="23">
        <f>EGP!V11</f>
        <v>245.16399999999999</v>
      </c>
      <c r="W51" s="23">
        <f>EGP!W11</f>
        <v>316.50099999999998</v>
      </c>
      <c r="X51" s="23">
        <f>EGP!X11</f>
        <v>193.93600000000001</v>
      </c>
      <c r="Y51" s="24">
        <f>EGP!Y11</f>
        <v>3.8800000000000001E-2</v>
      </c>
      <c r="Z51" s="24">
        <f>EGP!Z11</f>
        <v>5.0255340753243123E-2</v>
      </c>
      <c r="AA51" s="24">
        <f>EGP!AA11</f>
        <v>6.0879426859857456E-2</v>
      </c>
      <c r="AB51" s="25">
        <f>EGP!AB11</f>
        <v>19.898382639768833</v>
      </c>
      <c r="AC51" s="25">
        <f>EGP!AC11</f>
        <v>16.425910222544783</v>
      </c>
      <c r="AD51" s="24">
        <f>EGP!AD11</f>
        <v>0.39</v>
      </c>
      <c r="AE51" s="24">
        <f>EGP!AE11</f>
        <v>0.98699999999999999</v>
      </c>
      <c r="AF51" s="26">
        <f>EGP!AF11</f>
        <v>4.358625793635337</v>
      </c>
      <c r="AG51" s="26">
        <f>EGP!AG11</f>
        <v>4.2481257309783924</v>
      </c>
    </row>
    <row r="52" spans="1:33" x14ac:dyDescent="0.25">
      <c r="A52" s="28">
        <f>EGP!A12</f>
        <v>2021</v>
      </c>
      <c r="B52" s="23">
        <f>EGP!B12</f>
        <v>295.233</v>
      </c>
      <c r="C52">
        <f>EGP!C12</f>
        <v>32.945</v>
      </c>
      <c r="D52" s="23">
        <f>EGP!D12</f>
        <v>262.28800000000001</v>
      </c>
      <c r="E52">
        <f>EGP!E12</f>
        <v>227.85</v>
      </c>
      <c r="F52">
        <f>EGP!F12</f>
        <v>41.268846000000003</v>
      </c>
      <c r="G52" s="23">
        <f>EGP!G12</f>
        <v>9403.1065611000013</v>
      </c>
      <c r="H52" s="23">
        <f>EGP!H12</f>
        <v>544.505</v>
      </c>
      <c r="I52" s="23">
        <f>EGP!I12</f>
        <v>504.61399999999998</v>
      </c>
      <c r="J52" s="23">
        <f>EGP!J12</f>
        <v>1049.1189999999999</v>
      </c>
      <c r="K52" s="23">
        <f>EGP!K12</f>
        <v>8353.9875611000007</v>
      </c>
      <c r="L52" s="23">
        <f>EGP!L12</f>
        <v>1449.636</v>
      </c>
      <c r="M52" s="23">
        <f>EGP!M12</f>
        <v>2.1419999999999999</v>
      </c>
      <c r="N52" s="23">
        <f>EGP!N12</f>
        <v>0</v>
      </c>
      <c r="O52" s="23">
        <f>EGP!O12</f>
        <v>1451.778</v>
      </c>
      <c r="P52" s="23">
        <f>EGP!P12</f>
        <v>10854.884561100002</v>
      </c>
      <c r="Q52" s="23">
        <f>EGP!Q12</f>
        <v>9805.7655611000009</v>
      </c>
      <c r="R52" s="23">
        <f>EGP!R12</f>
        <v>245.93299999999999</v>
      </c>
      <c r="S52" s="23">
        <f>EGP!S12</f>
        <v>17.538</v>
      </c>
      <c r="T52" s="23">
        <f>EGP!T12</f>
        <v>33.381</v>
      </c>
      <c r="U52" s="23">
        <f>EGP!U12</f>
        <v>50.918999999999997</v>
      </c>
      <c r="V52" s="23">
        <f>EGP!V12</f>
        <v>195.01400000000001</v>
      </c>
      <c r="W52" s="23">
        <f>EGP!W12</f>
        <v>256.49200000000002</v>
      </c>
      <c r="X52" s="23">
        <f>EGP!X12</f>
        <v>131.75899999999999</v>
      </c>
      <c r="Y52" s="24">
        <f>EGP!Y12</f>
        <v>1.52E-2</v>
      </c>
      <c r="Z52" s="24">
        <f>EGP!Z12</f>
        <v>3.0108103050230487E-2</v>
      </c>
      <c r="AA52" s="24">
        <f>EGP!AA12</f>
        <v>3.1396742942416303E-2</v>
      </c>
      <c r="AB52" s="25">
        <f>EGP!AB12</f>
        <v>33.213650103816313</v>
      </c>
      <c r="AC52" s="25">
        <f>EGP!AC12</f>
        <v>31.85043753850729</v>
      </c>
      <c r="AD52" s="24">
        <f>EGP!AD12</f>
        <v>0.312</v>
      </c>
      <c r="AE52" s="24">
        <f>EGP!AE12</f>
        <v>0.98699999999999999</v>
      </c>
      <c r="AF52" s="26">
        <f>EGP!AF12</f>
        <v>4.1511194431874499</v>
      </c>
      <c r="AG52" s="26">
        <f>EGP!AG12</f>
        <v>4.0682626330197476</v>
      </c>
    </row>
    <row r="53" spans="1:33" x14ac:dyDescent="0.25">
      <c r="A53" s="28">
        <f>EGP!A13</f>
        <v>2020</v>
      </c>
      <c r="B53" s="23">
        <f>EGP!B13</f>
        <v>260.108</v>
      </c>
      <c r="C53">
        <f>EGP!C13</f>
        <v>33.927</v>
      </c>
      <c r="D53" s="23">
        <f>EGP!D13</f>
        <v>226.18100000000001</v>
      </c>
      <c r="E53">
        <f>EGP!E13</f>
        <v>138.06</v>
      </c>
      <c r="F53">
        <f>EGP!F13</f>
        <v>39.676828</v>
      </c>
      <c r="G53" s="23">
        <f>EGP!G13</f>
        <v>5477.7828736800002</v>
      </c>
      <c r="H53" s="23">
        <f>EGP!H13</f>
        <v>502.73899999999998</v>
      </c>
      <c r="I53" s="23">
        <f>EGP!I13</f>
        <v>359.58800000000002</v>
      </c>
      <c r="J53" s="23">
        <f>EGP!J13</f>
        <v>862.327</v>
      </c>
      <c r="K53" s="23">
        <f>EGP!K13</f>
        <v>4615.45587368</v>
      </c>
      <c r="L53" s="23">
        <f>EGP!L13</f>
        <v>1231.902</v>
      </c>
      <c r="M53" s="23">
        <f>EGP!M13</f>
        <v>78.992999999999995</v>
      </c>
      <c r="N53" s="23">
        <f>EGP!N13</f>
        <v>0</v>
      </c>
      <c r="O53" s="23">
        <f>EGP!O13</f>
        <v>1310.895</v>
      </c>
      <c r="P53" s="23">
        <f>EGP!P13</f>
        <v>6788.6778736800006</v>
      </c>
      <c r="Q53" s="23">
        <f>EGP!Q13</f>
        <v>5926.3508736799995</v>
      </c>
      <c r="R53" s="23">
        <f>EGP!R13</f>
        <v>211.572</v>
      </c>
      <c r="S53" s="23">
        <f>EGP!S13</f>
        <v>15.094999999999999</v>
      </c>
      <c r="T53" s="23">
        <f>EGP!T13</f>
        <v>18.199000000000002</v>
      </c>
      <c r="U53" s="23">
        <f>EGP!U13</f>
        <v>33.293999999999997</v>
      </c>
      <c r="V53" s="23">
        <f>EGP!V13</f>
        <v>178.27800000000002</v>
      </c>
      <c r="W53" s="23">
        <f>EGP!W13</f>
        <v>196.285</v>
      </c>
      <c r="X53" s="23">
        <f>EGP!X13</f>
        <v>119.765</v>
      </c>
      <c r="Y53" s="24">
        <f>EGP!Y13</f>
        <v>9.300000000000001E-3</v>
      </c>
      <c r="Z53" s="24">
        <f>EGP!Z13</f>
        <v>4.3890077645450741E-2</v>
      </c>
      <c r="AA53" s="24">
        <f>EGP!AA13</f>
        <v>4.9005126728610918E-2</v>
      </c>
      <c r="AB53" s="25">
        <f>EGP!AB13</f>
        <v>22.784193003214046</v>
      </c>
      <c r="AC53" s="25">
        <f>EGP!AC13</f>
        <v>20.406028241452642</v>
      </c>
      <c r="AD53" s="24">
        <f>EGP!AD13</f>
        <v>0.217</v>
      </c>
      <c r="AE53" s="24">
        <f>EGP!AE13</f>
        <v>0.98</v>
      </c>
      <c r="AF53" s="26">
        <f>EGP!AF13</f>
        <v>3.9452921473762559</v>
      </c>
      <c r="AG53" s="26">
        <f>EGP!AG13</f>
        <v>3.9275985114393914</v>
      </c>
    </row>
    <row r="54" spans="1:33" x14ac:dyDescent="0.25">
      <c r="A54" s="28">
        <f>EGP!A14</f>
        <v>2019</v>
      </c>
      <c r="B54" s="23">
        <f>EGP!B14</f>
        <v>238.316</v>
      </c>
      <c r="C54">
        <f>EGP!C14</f>
        <v>34.463000000000001</v>
      </c>
      <c r="D54" s="23">
        <f>EGP!D14</f>
        <v>203.85300000000001</v>
      </c>
      <c r="E54">
        <f>EGP!E14</f>
        <v>132.66999999999999</v>
      </c>
      <c r="F54">
        <f>EGP!F14</f>
        <v>38.925953</v>
      </c>
      <c r="G54" s="23">
        <f>EGP!G14</f>
        <v>5164.3061845099992</v>
      </c>
      <c r="H54" s="23">
        <f>EGP!H14</f>
        <v>452.69799999999998</v>
      </c>
      <c r="I54" s="23">
        <f>EGP!I14</f>
        <v>419.99900000000002</v>
      </c>
      <c r="J54" s="23">
        <f>EGP!J14</f>
        <v>872.697</v>
      </c>
      <c r="K54" s="23">
        <f>EGP!K14</f>
        <v>4291.6091845099991</v>
      </c>
      <c r="L54" s="23">
        <f>EGP!L14</f>
        <v>1049.509</v>
      </c>
      <c r="M54" s="23">
        <f>EGP!M14</f>
        <v>133.09299999999999</v>
      </c>
      <c r="N54" s="23">
        <f>EGP!N14</f>
        <v>0</v>
      </c>
      <c r="O54" s="23">
        <f>EGP!O14</f>
        <v>1182.6020000000001</v>
      </c>
      <c r="P54" s="23">
        <f>EGP!P14</f>
        <v>6346.908184509999</v>
      </c>
      <c r="Q54" s="23">
        <f>EGP!Q14</f>
        <v>5474.2111845099989</v>
      </c>
      <c r="R54" s="23">
        <f>EGP!R14</f>
        <v>186.43299999999999</v>
      </c>
      <c r="S54" s="23">
        <f>EGP!S14</f>
        <v>17.021000000000001</v>
      </c>
      <c r="T54" s="23">
        <f>EGP!T14</f>
        <v>19.033999999999999</v>
      </c>
      <c r="U54" s="23">
        <f>EGP!U14</f>
        <v>36.055</v>
      </c>
      <c r="V54" s="23">
        <f>EGP!V14</f>
        <v>150.37799999999999</v>
      </c>
      <c r="W54" s="23">
        <f>EGP!W14</f>
        <v>195.91200000000001</v>
      </c>
      <c r="X54" s="23">
        <f>EGP!X14</f>
        <v>108.795</v>
      </c>
      <c r="Y54" s="24">
        <f>EGP!Y14</f>
        <v>1.9199999999999998E-2</v>
      </c>
      <c r="Z54" s="24">
        <f>EGP!Z14</f>
        <v>4.3534308773900882E-2</v>
      </c>
      <c r="AA54" s="24">
        <f>EGP!AA14</f>
        <v>4.750036437049783E-2</v>
      </c>
      <c r="AB54" s="25">
        <f>EGP!AB14</f>
        <v>22.970388830418432</v>
      </c>
      <c r="AC54" s="25">
        <f>EGP!AC14</f>
        <v>21.052470086336719</v>
      </c>
      <c r="AD54" s="24">
        <f>EGP!AD14</f>
        <v>0.17299999999999999</v>
      </c>
      <c r="AE54" s="24">
        <f>EGP!AE14</f>
        <v>0.97599999999999998</v>
      </c>
      <c r="AF54" s="26">
        <f>EGP!AF14</f>
        <v>3.9763341528222704</v>
      </c>
      <c r="AG54" s="26">
        <f>EGP!AG14</f>
        <v>3.9124379984682562</v>
      </c>
    </row>
    <row r="55" spans="1:33" x14ac:dyDescent="0.25">
      <c r="A55" s="28">
        <f>EGP!A15</f>
        <v>2018</v>
      </c>
      <c r="B55" s="23">
        <f>EGP!B15</f>
        <v>213.179</v>
      </c>
      <c r="C55">
        <f>EGP!C15</f>
        <v>35.106000000000002</v>
      </c>
      <c r="D55" s="23">
        <f>EGP!D15</f>
        <v>178.07300000000001</v>
      </c>
      <c r="E55">
        <f>EGP!E15</f>
        <v>91.73</v>
      </c>
      <c r="F55">
        <f>EGP!F15</f>
        <v>36.501356000000001</v>
      </c>
      <c r="G55" s="23">
        <f>EGP!G15</f>
        <v>3348.2693858800003</v>
      </c>
      <c r="H55" s="23">
        <f>EGP!H15</f>
        <v>380.68400000000003</v>
      </c>
      <c r="I55" s="23">
        <f>EGP!I15</f>
        <v>263.66399999999999</v>
      </c>
      <c r="J55" s="23">
        <f>EGP!J15</f>
        <v>644.34799999999996</v>
      </c>
      <c r="K55" s="23">
        <f>EGP!K15</f>
        <v>2703.9213858800003</v>
      </c>
      <c r="L55" s="23">
        <f>EGP!L15</f>
        <v>917.32600000000002</v>
      </c>
      <c r="M55" s="23">
        <f>EGP!M15</f>
        <v>188.46100000000001</v>
      </c>
      <c r="N55" s="23">
        <f>EGP!N15</f>
        <v>0</v>
      </c>
      <c r="O55" s="23">
        <f>EGP!O15</f>
        <v>1105.787</v>
      </c>
      <c r="P55" s="23">
        <f>EGP!P15</f>
        <v>4454.0563858800006</v>
      </c>
      <c r="Q55" s="23">
        <f>EGP!Q15</f>
        <v>3809.7083858800006</v>
      </c>
      <c r="R55" s="23">
        <f>EGP!R15</f>
        <v>164.125</v>
      </c>
      <c r="S55" s="23">
        <f>EGP!S15</f>
        <v>15.822000000000001</v>
      </c>
      <c r="T55" s="23">
        <f>EGP!T15</f>
        <v>15.760999999999999</v>
      </c>
      <c r="U55" s="23">
        <f>EGP!U15</f>
        <v>31.582999999999998</v>
      </c>
      <c r="V55" s="23">
        <f>EGP!V15</f>
        <v>132.542</v>
      </c>
      <c r="W55" s="23">
        <f>EGP!W15</f>
        <v>164.73099999999999</v>
      </c>
      <c r="X55" s="23">
        <f>EGP!X15</f>
        <v>71.293999999999997</v>
      </c>
      <c r="Y55" s="24">
        <f>EGP!Y15</f>
        <v>2.69E-2</v>
      </c>
      <c r="Z55" s="24">
        <f>EGP!Z15</f>
        <v>5.5956776321807108E-2</v>
      </c>
      <c r="AA55" s="24">
        <f>EGP!AA15</f>
        <v>6.5857314095707539E-2</v>
      </c>
      <c r="AB55" s="25">
        <f>EGP!AB15</f>
        <v>17.870936564483372</v>
      </c>
      <c r="AC55" s="25">
        <f>EGP!AC15</f>
        <v>15.184342297147801</v>
      </c>
      <c r="AD55" s="24">
        <f>EGP!AD15</f>
        <v>0.158</v>
      </c>
      <c r="AE55" s="24">
        <f>EGP!AE15</f>
        <v>0.97299999999999998</v>
      </c>
      <c r="AF55" s="26">
        <f>EGP!AF15</f>
        <v>4.1461242239279068</v>
      </c>
      <c r="AG55" s="26">
        <f>EGP!AG15</f>
        <v>4.0798275892278308</v>
      </c>
    </row>
    <row r="56" spans="1:33" x14ac:dyDescent="0.25">
      <c r="A56" s="28">
        <f>EGP!A16</f>
        <v>2017</v>
      </c>
      <c r="B56" s="23">
        <f>EGP!B16</f>
        <v>194.18700000000001</v>
      </c>
      <c r="C56">
        <f>EGP!C16</f>
        <v>34.774999999999999</v>
      </c>
      <c r="D56" s="23">
        <f>EGP!D16</f>
        <v>159.41200000000001</v>
      </c>
      <c r="E56">
        <f>EGP!E16</f>
        <v>88.38</v>
      </c>
      <c r="F56">
        <f>EGP!F16</f>
        <v>34.758167</v>
      </c>
      <c r="G56" s="23">
        <f>EGP!G16</f>
        <v>3071.92679946</v>
      </c>
      <c r="H56" s="23">
        <f>EGP!H16</f>
        <v>345.42399999999998</v>
      </c>
      <c r="I56" s="23">
        <f>EGP!I16</f>
        <v>242.01400000000001</v>
      </c>
      <c r="J56" s="23">
        <f>EGP!J16</f>
        <v>587.43799999999999</v>
      </c>
      <c r="K56" s="23">
        <f>EGP!K16</f>
        <v>2484.4887994599999</v>
      </c>
      <c r="L56" s="23">
        <f>EGP!L16</f>
        <v>908.77</v>
      </c>
      <c r="M56" s="23">
        <f>EGP!M16</f>
        <v>199.512</v>
      </c>
      <c r="N56" s="23">
        <f>EGP!N16</f>
        <v>0</v>
      </c>
      <c r="O56" s="23">
        <f>EGP!O16</f>
        <v>1108.2819999999999</v>
      </c>
      <c r="P56" s="23">
        <f>EGP!P16</f>
        <v>4180.2087994599997</v>
      </c>
      <c r="Q56" s="23">
        <f>EGP!Q16</f>
        <v>3592.7707994599996</v>
      </c>
      <c r="R56" s="23">
        <f>EGP!R16</f>
        <v>145.102</v>
      </c>
      <c r="S56" s="23">
        <f>EGP!S16</f>
        <v>14.77</v>
      </c>
      <c r="T56" s="23">
        <f>EGP!T16</f>
        <v>16.260000000000002</v>
      </c>
      <c r="U56" s="23">
        <f>EGP!U16</f>
        <v>31.03</v>
      </c>
      <c r="V56" s="23">
        <f>EGP!V16</f>
        <v>114.072</v>
      </c>
      <c r="W56" s="23">
        <f>EGP!W16</f>
        <v>155.01400000000001</v>
      </c>
      <c r="X56" s="23">
        <f>EGP!X16</f>
        <v>86.724999999999994</v>
      </c>
      <c r="Y56" s="24">
        <f>EGP!Y16</f>
        <v>2.4E-2</v>
      </c>
      <c r="Z56" s="24">
        <f>EGP!Z16</f>
        <v>5.4049370482855935E-2</v>
      </c>
      <c r="AA56" s="24">
        <f>EGP!AA16</f>
        <v>6.4162897427691351E-2</v>
      </c>
      <c r="AB56" s="25">
        <f>EGP!AB16</f>
        <v>18.501603091144101</v>
      </c>
      <c r="AC56" s="25">
        <f>EGP!AC16</f>
        <v>15.585331088374776</v>
      </c>
      <c r="AD56" s="24">
        <f>EGP!AD16</f>
        <v>0.16800000000000001</v>
      </c>
      <c r="AE56" s="24">
        <f>EGP!AE16</f>
        <v>0.97</v>
      </c>
      <c r="AF56" s="26">
        <f>EGP!AF16</f>
        <v>4.1507766096874041</v>
      </c>
      <c r="AG56" s="26">
        <f>EGP!AG16</f>
        <v>4.0976816163602967</v>
      </c>
    </row>
    <row r="57" spans="1:33" x14ac:dyDescent="0.25">
      <c r="A57" s="28">
        <f>EGP!A17</f>
        <v>2016</v>
      </c>
      <c r="B57" s="23">
        <f>EGP!B17</f>
        <v>178.697</v>
      </c>
      <c r="C57">
        <f>EGP!C17</f>
        <v>35.213000000000001</v>
      </c>
      <c r="D57" s="23">
        <f>EGP!D17</f>
        <v>143.48400000000001</v>
      </c>
      <c r="E57">
        <f>EGP!E17</f>
        <v>73.84</v>
      </c>
      <c r="F57">
        <f>EGP!F17</f>
        <v>33.332213000000003</v>
      </c>
      <c r="G57" s="23">
        <f>EGP!G17</f>
        <v>2461.2506079200002</v>
      </c>
      <c r="H57" s="23">
        <f>EGP!H17</f>
        <v>308.93099999999998</v>
      </c>
      <c r="I57" s="23">
        <f>EGP!I17</f>
        <v>293.90800000000002</v>
      </c>
      <c r="J57" s="23">
        <f>EGP!J17</f>
        <v>602.83899999999994</v>
      </c>
      <c r="K57" s="23">
        <f>EGP!K17</f>
        <v>1858.4116079200003</v>
      </c>
      <c r="L57" s="23">
        <f>EGP!L17</f>
        <v>843.82799999999997</v>
      </c>
      <c r="M57" s="23">
        <f>EGP!M17</f>
        <v>257.505</v>
      </c>
      <c r="N57" s="23">
        <f>EGP!N17</f>
        <v>0</v>
      </c>
      <c r="O57" s="23">
        <f>EGP!O17</f>
        <v>1101.3330000000001</v>
      </c>
      <c r="P57" s="23">
        <f>EGP!P17</f>
        <v>3562.5836079200003</v>
      </c>
      <c r="Q57" s="23">
        <f>EGP!Q17</f>
        <v>2959.7446079200004</v>
      </c>
      <c r="R57" s="23">
        <f>EGP!R17</f>
        <v>131.184</v>
      </c>
      <c r="S57" s="23">
        <f>EGP!S17</f>
        <v>12.724</v>
      </c>
      <c r="T57" s="23">
        <f>EGP!T17</f>
        <v>14.468</v>
      </c>
      <c r="U57" s="23">
        <f>EGP!U17</f>
        <v>27.192</v>
      </c>
      <c r="V57" s="23">
        <f>EGP!V17</f>
        <v>103.99199999999999</v>
      </c>
      <c r="W57" s="23">
        <f>EGP!W17</f>
        <v>138.864</v>
      </c>
      <c r="X57" s="23">
        <f>EGP!X17</f>
        <v>80.899000000000001</v>
      </c>
      <c r="Y57" s="24">
        <f>EGP!Y17</f>
        <v>2.4500000000000001E-2</v>
      </c>
      <c r="Z57" s="24">
        <f>EGP!Z17</f>
        <v>6.0375817400536352E-2</v>
      </c>
      <c r="AA57" s="24">
        <f>EGP!AA17</f>
        <v>7.7207869014869299E-2</v>
      </c>
      <c r="AB57" s="25">
        <f>EGP!AB17</f>
        <v>16.562922757069231</v>
      </c>
      <c r="AC57" s="25">
        <f>EGP!AC17</f>
        <v>12.952047670262887</v>
      </c>
      <c r="AD57" s="24">
        <f>EGP!AD17</f>
        <v>0.11899999999999999</v>
      </c>
      <c r="AE57" s="24">
        <f>EGP!AE17</f>
        <v>0.97299999999999998</v>
      </c>
      <c r="AF57" s="26">
        <f>EGP!AF17</f>
        <v>4.0686959611512492</v>
      </c>
      <c r="AG57" s="26">
        <f>EGP!AG17</f>
        <v>3.982370250911071</v>
      </c>
    </row>
    <row r="59" spans="1:33" x14ac:dyDescent="0.25">
      <c r="A59" s="22" t="s">
        <v>545</v>
      </c>
    </row>
    <row r="60" spans="1:33" x14ac:dyDescent="0.25">
      <c r="A60" s="28">
        <f>FR!A8</f>
        <v>2025</v>
      </c>
      <c r="B60" s="23">
        <f>FR!B8</f>
        <v>534.96699999999998</v>
      </c>
      <c r="C60">
        <f>FR!C8</f>
        <v>84.885999999999996</v>
      </c>
      <c r="D60" s="23">
        <f>FR!D8</f>
        <v>450.08100000000002</v>
      </c>
      <c r="E60">
        <f>FR!E8</f>
        <v>57.27</v>
      </c>
      <c r="F60">
        <f>FR!F8</f>
        <v>136.50141400000001</v>
      </c>
      <c r="G60" s="23">
        <f>FR!G8</f>
        <v>7817.4359797800007</v>
      </c>
      <c r="H60" s="23">
        <f>FR!H8</f>
        <v>1872.086</v>
      </c>
      <c r="I60" s="23">
        <f>FR!I8</f>
        <v>221.05199999999999</v>
      </c>
      <c r="J60" s="23">
        <f>FR!J8</f>
        <v>2093.1379999999999</v>
      </c>
      <c r="K60" s="23">
        <f>FR!K8</f>
        <v>5724.2979797800008</v>
      </c>
      <c r="L60" s="23">
        <f>FR!L8</f>
        <v>2544.1010000000001</v>
      </c>
      <c r="M60" s="23">
        <f>FR!M8</f>
        <v>9.2949999999999999</v>
      </c>
      <c r="N60" s="23">
        <f>FR!N8</f>
        <v>0</v>
      </c>
      <c r="O60" s="23">
        <f>FR!O8</f>
        <v>2553.3960000000002</v>
      </c>
      <c r="P60" s="23">
        <f>FR!P8</f>
        <v>10370.831979780001</v>
      </c>
      <c r="Q60" s="23">
        <f>FR!Q8</f>
        <v>8277.6939797800005</v>
      </c>
      <c r="R60" s="23">
        <f>FR!R8</f>
        <v>403.82299999999998</v>
      </c>
      <c r="S60" s="23">
        <f>FR!S8</f>
        <v>22.042000000000002</v>
      </c>
      <c r="T60" s="23">
        <f>FR!T8</f>
        <v>34.64</v>
      </c>
      <c r="U60" s="23">
        <f>FR!U8</f>
        <v>56.682000000000002</v>
      </c>
      <c r="V60" s="23">
        <f>FR!V8</f>
        <v>347.14099999999996</v>
      </c>
      <c r="W60" s="23">
        <f>FR!W8</f>
        <v>461.26299999999998</v>
      </c>
      <c r="X60" s="23">
        <f>FR!X8</f>
        <v>231.22</v>
      </c>
      <c r="Y60" s="24">
        <f>FR!Y8</f>
        <v>4.1799999999999997E-2</v>
      </c>
      <c r="Z60" s="24">
        <f>FR!Z8</f>
        <v>6.4627540146660264E-2</v>
      </c>
      <c r="AA60" s="24">
        <f>FR!AA8</f>
        <v>7.862641001391367E-2</v>
      </c>
      <c r="AB60" s="25">
        <f>FR!AB8</f>
        <v>15.473279622444002</v>
      </c>
      <c r="AC60" s="25">
        <f>FR!AC8</f>
        <v>12.718372870172258</v>
      </c>
      <c r="AD60" s="24">
        <f>FR!AD8</f>
        <v>0.53300000000000003</v>
      </c>
      <c r="AE60" s="24">
        <f>FR!AE8</f>
        <v>0.94399999999999995</v>
      </c>
      <c r="AF60" s="26">
        <f>FR!AF8</f>
        <v>5.1346185317416966</v>
      </c>
      <c r="AG60" s="26">
        <f>FR!AG8</f>
        <v>5.0364461236711975</v>
      </c>
    </row>
    <row r="61" spans="1:33" x14ac:dyDescent="0.25">
      <c r="A61" s="28">
        <f>FR!A9</f>
        <v>2024</v>
      </c>
      <c r="B61" s="23">
        <f>FR!B9</f>
        <v>485.291</v>
      </c>
      <c r="C61">
        <f>FR!C9</f>
        <v>82.972999999999999</v>
      </c>
      <c r="D61" s="23">
        <f>FR!D9</f>
        <v>402.31799999999998</v>
      </c>
      <c r="E61">
        <f>FR!E9</f>
        <v>50.13</v>
      </c>
      <c r="F61">
        <f>FR!F9</f>
        <v>135.98997900000001</v>
      </c>
      <c r="G61" s="23">
        <f>FR!G9</f>
        <v>6817.1776472700003</v>
      </c>
      <c r="H61" s="23">
        <f>FR!H9</f>
        <v>1795.136</v>
      </c>
      <c r="I61" s="23">
        <f>FR!I9</f>
        <v>153.97200000000001</v>
      </c>
      <c r="J61" s="23">
        <f>FR!J9</f>
        <v>1949.1079999999999</v>
      </c>
      <c r="K61" s="23">
        <f>FR!K9</f>
        <v>4868.0696472700001</v>
      </c>
      <c r="L61" s="23">
        <f>FR!L9</f>
        <v>2199.66</v>
      </c>
      <c r="M61" s="23">
        <f>FR!M9</f>
        <v>9.6430000000000007</v>
      </c>
      <c r="N61" s="23">
        <f>FR!N9</f>
        <v>0</v>
      </c>
      <c r="O61" s="23">
        <f>FR!O9</f>
        <v>2209.3029999999999</v>
      </c>
      <c r="P61" s="23">
        <f>FR!P9</f>
        <v>9026.4806472700002</v>
      </c>
      <c r="Q61" s="23">
        <f>FR!Q9</f>
        <v>7077.37264727</v>
      </c>
      <c r="R61" s="23">
        <f>FR!R9</f>
        <v>360.13299999999998</v>
      </c>
      <c r="S61" s="23">
        <f>FR!S9</f>
        <v>19.832999999999998</v>
      </c>
      <c r="T61" s="23">
        <f>FR!T9</f>
        <v>32.228000000000002</v>
      </c>
      <c r="U61" s="23">
        <f>FR!U9</f>
        <v>52.061</v>
      </c>
      <c r="V61" s="23">
        <f>FR!V9</f>
        <v>308.072</v>
      </c>
      <c r="W61" s="23">
        <f>FR!W9</f>
        <v>352.488</v>
      </c>
      <c r="X61" s="23">
        <f>FR!X9</f>
        <v>193.482</v>
      </c>
      <c r="Y61" s="24">
        <f>FR!Y9</f>
        <v>4.58E-2</v>
      </c>
      <c r="Z61" s="24">
        <f>FR!Z9</f>
        <v>6.8569372306147305E-2</v>
      </c>
      <c r="AA61" s="24">
        <f>FR!AA9</f>
        <v>8.2644257200719953E-2</v>
      </c>
      <c r="AB61" s="25">
        <f>FR!AB9</f>
        <v>14.5837706598103</v>
      </c>
      <c r="AC61" s="25">
        <f>FR!AC9</f>
        <v>12.100054303486298</v>
      </c>
      <c r="AD61" s="24">
        <f>FR!AD9</f>
        <v>0.70099999999999996</v>
      </c>
      <c r="AE61" s="24">
        <f>FR!AE9</f>
        <v>0.96199999999999997</v>
      </c>
      <c r="AF61" s="26">
        <f>FR!AF9</f>
        <v>5.285025175820075</v>
      </c>
      <c r="AG61" s="26">
        <f>FR!AG9</f>
        <v>5.2665495624452312</v>
      </c>
    </row>
    <row r="62" spans="1:33" x14ac:dyDescent="0.25">
      <c r="A62" s="28">
        <f>FR!A10</f>
        <v>2023</v>
      </c>
      <c r="B62" s="23">
        <f>FR!B10</f>
        <v>444.70499999999998</v>
      </c>
      <c r="C62">
        <f>FR!C10</f>
        <v>74.334999999999994</v>
      </c>
      <c r="D62" s="23">
        <f>FR!D10</f>
        <v>370.37</v>
      </c>
      <c r="E62">
        <f>FR!E10</f>
        <v>52.67</v>
      </c>
      <c r="F62">
        <f>FR!F10</f>
        <v>135.667204</v>
      </c>
      <c r="G62" s="23">
        <f>FR!G10</f>
        <v>7145.5916346800004</v>
      </c>
      <c r="H62" s="23">
        <f>FR!H10</f>
        <v>1756.971</v>
      </c>
      <c r="I62" s="23">
        <f>FR!I10</f>
        <v>245.39099999999999</v>
      </c>
      <c r="J62" s="23">
        <f>FR!J10</f>
        <v>2002.3620000000001</v>
      </c>
      <c r="K62" s="23">
        <f>FR!K10</f>
        <v>5143.2296346800003</v>
      </c>
      <c r="L62" s="23">
        <f>FR!L10</f>
        <v>2214.326</v>
      </c>
      <c r="M62" s="23">
        <f>FR!M10</f>
        <v>9.9779999999999998</v>
      </c>
      <c r="N62" s="23">
        <f>FR!N10</f>
        <v>0</v>
      </c>
      <c r="O62" s="23">
        <f>FR!O10</f>
        <v>2224.3040000000001</v>
      </c>
      <c r="P62" s="23">
        <f>FR!P10</f>
        <v>9369.8956346800005</v>
      </c>
      <c r="Q62" s="23">
        <f>FR!Q10</f>
        <v>7367.5336346800004</v>
      </c>
      <c r="R62" s="23">
        <f>FR!R10</f>
        <v>331.06099999999998</v>
      </c>
      <c r="S62" s="23">
        <f>FR!S10</f>
        <v>19.036000000000001</v>
      </c>
      <c r="T62" s="23">
        <f>FR!T10</f>
        <v>35.406999999999996</v>
      </c>
      <c r="U62" s="23">
        <f>FR!U10</f>
        <v>54.442999999999998</v>
      </c>
      <c r="V62" s="23">
        <f>FR!V10</f>
        <v>276.61799999999999</v>
      </c>
      <c r="W62" s="23">
        <f>FR!W10</f>
        <v>304.815</v>
      </c>
      <c r="X62" s="23">
        <f>FR!X10</f>
        <v>169.36799999999999</v>
      </c>
      <c r="Y62" s="24">
        <f>FR!Y10</f>
        <v>3.8800000000000001E-2</v>
      </c>
      <c r="Z62" s="24">
        <f>FR!Z10</f>
        <v>6.0360090913832008E-2</v>
      </c>
      <c r="AA62" s="24">
        <f>FR!AA10</f>
        <v>7.2011173194105993E-2</v>
      </c>
      <c r="AB62" s="25">
        <f>FR!AB10</f>
        <v>16.567238134673548</v>
      </c>
      <c r="AC62" s="25">
        <f>FR!AC10</f>
        <v>13.886733900369901</v>
      </c>
      <c r="AD62" s="24">
        <f>FR!AD10</f>
        <v>0.84199999999999997</v>
      </c>
      <c r="AE62" s="24">
        <f>FR!AE10</f>
        <v>0.95499999999999996</v>
      </c>
      <c r="AF62" s="26">
        <f>FR!AF10</f>
        <v>5.306703827440943</v>
      </c>
      <c r="AG62" s="26">
        <f>FR!AG10</f>
        <v>5.2656525841945809</v>
      </c>
    </row>
    <row r="63" spans="1:33" x14ac:dyDescent="0.25">
      <c r="A63" s="28">
        <f>FR!A11</f>
        <v>2022</v>
      </c>
      <c r="B63" s="23">
        <f>FR!B11</f>
        <v>395.35700000000003</v>
      </c>
      <c r="C63">
        <f>FR!C11</f>
        <v>49.012999999999998</v>
      </c>
      <c r="D63" s="23">
        <f>FR!D11</f>
        <v>346.34400000000005</v>
      </c>
      <c r="E63">
        <f>FR!E11</f>
        <v>48.26</v>
      </c>
      <c r="F63">
        <f>FR!F11</f>
        <v>135.19726900000001</v>
      </c>
      <c r="G63" s="23">
        <f>FR!G11</f>
        <v>6524.6202019399998</v>
      </c>
      <c r="H63" s="23">
        <f>FR!H11</f>
        <v>1646.1790000000001</v>
      </c>
      <c r="I63" s="23">
        <f>FR!I11</f>
        <v>253.90299999999999</v>
      </c>
      <c r="J63" s="23">
        <f>FR!J11</f>
        <v>1900.0820000000001</v>
      </c>
      <c r="K63" s="23">
        <f>FR!K11</f>
        <v>4624.5382019399995</v>
      </c>
      <c r="L63" s="23">
        <f>FR!L11</f>
        <v>2056.002</v>
      </c>
      <c r="M63" s="23">
        <f>FR!M11</f>
        <v>10.298999999999999</v>
      </c>
      <c r="N63" s="23">
        <f>FR!N11</f>
        <v>0</v>
      </c>
      <c r="O63" s="23">
        <f>FR!O11</f>
        <v>2066.3009999999999</v>
      </c>
      <c r="P63" s="23">
        <f>FR!P11</f>
        <v>8590.9212019400002</v>
      </c>
      <c r="Q63" s="23">
        <f>FR!Q11</f>
        <v>6690.8392019399998</v>
      </c>
      <c r="R63" s="23">
        <f>FR!R11</f>
        <v>308.42599999999999</v>
      </c>
      <c r="S63" s="23">
        <f>FR!S11</f>
        <v>16.614000000000001</v>
      </c>
      <c r="T63" s="23">
        <f>FR!T11</f>
        <v>30.899000000000001</v>
      </c>
      <c r="U63" s="23">
        <f>FR!U11</f>
        <v>47.513000000000005</v>
      </c>
      <c r="V63" s="23">
        <f>FR!V11</f>
        <v>260.91300000000001</v>
      </c>
      <c r="W63" s="23">
        <f>FR!W11</f>
        <v>410.94299999999998</v>
      </c>
      <c r="X63" s="23">
        <f>FR!X11</f>
        <v>155.333</v>
      </c>
      <c r="Y63" s="24">
        <f>FR!Y11</f>
        <v>3.8800000000000001E-2</v>
      </c>
      <c r="Z63" s="24">
        <f>FR!Z11</f>
        <v>5.9089299274352129E-2</v>
      </c>
      <c r="AA63" s="24">
        <f>FR!AA11</f>
        <v>7.4892667089377335E-2</v>
      </c>
      <c r="AB63" s="25">
        <f>FR!AB11</f>
        <v>16.923537971858345</v>
      </c>
      <c r="AC63" s="25">
        <f>FR!AC11</f>
        <v>13.352442086307251</v>
      </c>
      <c r="AD63" s="24">
        <f>FR!AD11</f>
        <v>0.433</v>
      </c>
      <c r="AE63" s="24">
        <f>FR!AE11</f>
        <v>0.98799999999999999</v>
      </c>
      <c r="AF63" s="26">
        <f>FR!AF11</f>
        <v>5.316010726777936</v>
      </c>
      <c r="AG63" s="26">
        <f>FR!AG11</f>
        <v>5.2920841696143714</v>
      </c>
    </row>
    <row r="64" spans="1:33" x14ac:dyDescent="0.25">
      <c r="A64" s="28">
        <f>FR!A12</f>
        <v>2021</v>
      </c>
      <c r="B64" s="23">
        <f>FR!B12</f>
        <v>344.99</v>
      </c>
      <c r="C64">
        <f>FR!C12</f>
        <v>44.103000000000002</v>
      </c>
      <c r="D64" s="23">
        <f>FR!D12</f>
        <v>300.887</v>
      </c>
      <c r="E64">
        <f>FR!E12</f>
        <v>66.2</v>
      </c>
      <c r="F64">
        <f>FR!F12</f>
        <v>134.682928</v>
      </c>
      <c r="G64" s="23">
        <f>FR!G12</f>
        <v>8916.009833600001</v>
      </c>
      <c r="H64" s="23">
        <f>FR!H12</f>
        <v>1387.1980000000001</v>
      </c>
      <c r="I64" s="23">
        <f>FR!I12</f>
        <v>239.02500000000001</v>
      </c>
      <c r="J64" s="23">
        <f>FR!J12</f>
        <v>1626.2230000000002</v>
      </c>
      <c r="K64" s="23">
        <f>FR!K12</f>
        <v>7289.786833600001</v>
      </c>
      <c r="L64" s="23">
        <f>FR!L12</f>
        <v>1530.346</v>
      </c>
      <c r="M64" s="23">
        <f>FR!M12</f>
        <v>79.674000000000007</v>
      </c>
      <c r="N64" s="23">
        <f>FR!N12</f>
        <v>0</v>
      </c>
      <c r="O64" s="23">
        <f>FR!O12</f>
        <v>1610.02</v>
      </c>
      <c r="P64" s="23">
        <f>FR!P12</f>
        <v>10526.029833600001</v>
      </c>
      <c r="Q64" s="23">
        <f>FR!Q12</f>
        <v>8899.8068336000015</v>
      </c>
      <c r="R64" s="23">
        <f>FR!R12</f>
        <v>261.77600000000001</v>
      </c>
      <c r="S64" s="23">
        <f>FR!S12</f>
        <v>15.44</v>
      </c>
      <c r="T64" s="23">
        <f>FR!T12</f>
        <v>30.558</v>
      </c>
      <c r="U64" s="23">
        <f>FR!U12</f>
        <v>45.997999999999998</v>
      </c>
      <c r="V64" s="23">
        <f>FR!V12</f>
        <v>215.77800000000002</v>
      </c>
      <c r="W64" s="23">
        <f>FR!W12</f>
        <v>266.89499999999998</v>
      </c>
      <c r="X64" s="23">
        <f>FR!X12</f>
        <v>139.71</v>
      </c>
      <c r="Y64" s="24">
        <f>FR!Y12</f>
        <v>1.52E-2</v>
      </c>
      <c r="Z64" s="24">
        <f>FR!Z12</f>
        <v>3.8763762680504202E-2</v>
      </c>
      <c r="AA64" s="24">
        <f>FR!AA12</f>
        <v>4.127514382356904E-2</v>
      </c>
      <c r="AB64" s="25">
        <f>FR!AB12</f>
        <v>25.797289294182445</v>
      </c>
      <c r="AC64" s="25">
        <f>FR!AC12</f>
        <v>24.227656341417212</v>
      </c>
      <c r="AD64" s="24">
        <f>FR!AD12</f>
        <v>0.29299999999999998</v>
      </c>
      <c r="AE64" s="24">
        <f>FR!AE12</f>
        <v>0.98099999999999998</v>
      </c>
      <c r="AF64" s="26">
        <f>FR!AF12</f>
        <v>5.2246190663975138</v>
      </c>
      <c r="AG64" s="26">
        <f>FR!AG12</f>
        <v>5.2327953285723838</v>
      </c>
    </row>
    <row r="65" spans="1:33" x14ac:dyDescent="0.25">
      <c r="A65" s="28">
        <f>FR!A13</f>
        <v>2020</v>
      </c>
      <c r="B65" s="23">
        <f>FR!B13</f>
        <v>328.83300000000003</v>
      </c>
      <c r="C65">
        <f>FR!C13</f>
        <v>51.292999999999999</v>
      </c>
      <c r="D65" s="23">
        <f>FR!D13</f>
        <v>277.54000000000002</v>
      </c>
      <c r="E65">
        <f>FR!E13</f>
        <v>42.13</v>
      </c>
      <c r="F65">
        <f>FR!F13</f>
        <v>131.764554</v>
      </c>
      <c r="G65" s="23">
        <f>FR!G13</f>
        <v>5551.2406600200002</v>
      </c>
      <c r="H65" s="23">
        <f>FR!H13</f>
        <v>1087.9069999999999</v>
      </c>
      <c r="I65" s="23">
        <f>FR!I13</f>
        <v>77.573999999999998</v>
      </c>
      <c r="J65" s="23">
        <f>FR!J13</f>
        <v>1165.481</v>
      </c>
      <c r="K65" s="23">
        <f>FR!K13</f>
        <v>4385.7596600200004</v>
      </c>
      <c r="L65" s="23">
        <f>FR!L13</f>
        <v>1450.7619999999999</v>
      </c>
      <c r="M65" s="23">
        <f>FR!M13</f>
        <v>143.87899999999999</v>
      </c>
      <c r="N65" s="23">
        <f>FR!N13</f>
        <v>0</v>
      </c>
      <c r="O65" s="23">
        <f>FR!O13</f>
        <v>1594.6409999999998</v>
      </c>
      <c r="P65" s="23">
        <f>FR!P13</f>
        <v>7145.8816600199998</v>
      </c>
      <c r="Q65" s="23">
        <f>FR!Q13</f>
        <v>5980.40066002</v>
      </c>
      <c r="R65" s="23">
        <f>FR!R13</f>
        <v>239.98699999999999</v>
      </c>
      <c r="S65" s="23">
        <f>FR!S13</f>
        <v>15.935</v>
      </c>
      <c r="T65" s="23">
        <f>FR!T13</f>
        <v>27.347000000000001</v>
      </c>
      <c r="U65" s="23">
        <f>FR!U13</f>
        <v>43.282000000000004</v>
      </c>
      <c r="V65" s="23">
        <f>FR!V13</f>
        <v>196.70499999999998</v>
      </c>
      <c r="W65" s="23">
        <f>FR!W13</f>
        <v>240.43</v>
      </c>
      <c r="X65" s="23">
        <f>FR!X13</f>
        <v>127.33799999999999</v>
      </c>
      <c r="Y65" s="24">
        <f>FR!Y13</f>
        <v>9.300000000000001E-3</v>
      </c>
      <c r="Z65" s="24">
        <f>FR!Z13</f>
        <v>5.4985111983935256E-2</v>
      </c>
      <c r="AA65" s="24">
        <f>FR!AA13</f>
        <v>6.3282081444183458E-2</v>
      </c>
      <c r="AB65" s="25">
        <f>FR!AB13</f>
        <v>18.186741172631699</v>
      </c>
      <c r="AC65" s="25">
        <f>FR!AC13</f>
        <v>15.80226151192621</v>
      </c>
      <c r="AD65" s="24">
        <f>FR!AD13</f>
        <v>0.29699999999999999</v>
      </c>
      <c r="AE65" s="24">
        <f>FR!AE13</f>
        <v>0.95699999999999996</v>
      </c>
      <c r="AF65" s="26">
        <f>FR!AF13</f>
        <v>5.218821661923668</v>
      </c>
      <c r="AG65" s="26">
        <f>FR!AG13</f>
        <v>5.1726187547661802</v>
      </c>
    </row>
    <row r="66" spans="1:33" x14ac:dyDescent="0.25">
      <c r="A66" s="28">
        <f>FR!A14</f>
        <v>2019</v>
      </c>
      <c r="B66" s="23">
        <f>FR!B14</f>
        <v>309.399</v>
      </c>
      <c r="C66">
        <f>FR!C14</f>
        <v>50.273000000000003</v>
      </c>
      <c r="D66" s="23">
        <f>FR!D14</f>
        <v>259.12599999999998</v>
      </c>
      <c r="E66">
        <f>FR!E14</f>
        <v>41.51</v>
      </c>
      <c r="F66">
        <f>FR!F14</f>
        <v>129.41722200000001</v>
      </c>
      <c r="G66" s="23">
        <f>FR!G14</f>
        <v>5372.10888522</v>
      </c>
      <c r="H66" s="23">
        <f>FR!H14</f>
        <v>957.47799999999995</v>
      </c>
      <c r="I66" s="23">
        <f>FR!I14</f>
        <v>90.301000000000002</v>
      </c>
      <c r="J66" s="23">
        <f>FR!J14</f>
        <v>1047.779</v>
      </c>
      <c r="K66" s="23">
        <f>FR!K14</f>
        <v>4324.3298852200005</v>
      </c>
      <c r="L66" s="23">
        <f>FR!L14</f>
        <v>1309.8800000000001</v>
      </c>
      <c r="M66" s="23">
        <f>FR!M14</f>
        <v>173.685</v>
      </c>
      <c r="N66" s="23">
        <f>FR!N14</f>
        <v>0</v>
      </c>
      <c r="O66" s="23">
        <f>FR!O14</f>
        <v>1483.5650000000001</v>
      </c>
      <c r="P66" s="23">
        <f>FR!P14</f>
        <v>6855.6738852199996</v>
      </c>
      <c r="Q66" s="23">
        <f>FR!Q14</f>
        <v>5807.894885220001</v>
      </c>
      <c r="R66" s="23">
        <f>FR!R14</f>
        <v>225.83600000000001</v>
      </c>
      <c r="S66" s="23">
        <f>FR!S14</f>
        <v>13.808999999999999</v>
      </c>
      <c r="T66" s="23">
        <f>FR!T14</f>
        <v>20.138999999999999</v>
      </c>
      <c r="U66" s="23">
        <f>FR!U14</f>
        <v>33.948</v>
      </c>
      <c r="V66" s="23">
        <f>FR!V14</f>
        <v>191.88800000000001</v>
      </c>
      <c r="W66" s="23">
        <f>FR!W14</f>
        <v>245.53299999999999</v>
      </c>
      <c r="X66" s="23">
        <f>FR!X14</f>
        <v>117.214</v>
      </c>
      <c r="Y66" s="24">
        <f>FR!Y14</f>
        <v>1.9199999999999998E-2</v>
      </c>
      <c r="Z66" s="24">
        <f>FR!Z14</f>
        <v>5.3272141819811894E-2</v>
      </c>
      <c r="AA66" s="24">
        <f>FR!AA14</f>
        <v>5.9922810441834951E-2</v>
      </c>
      <c r="AB66" s="25">
        <f>FR!AB14</f>
        <v>18.771537352156926</v>
      </c>
      <c r="AC66" s="25">
        <f>FR!AC14</f>
        <v>16.688135830522608</v>
      </c>
      <c r="AD66" s="24">
        <f>FR!AD14</f>
        <v>0.26</v>
      </c>
      <c r="AE66" s="24">
        <f>FR!AE14</f>
        <v>0.97599999999999998</v>
      </c>
      <c r="AF66" s="26">
        <f>FR!AF14</f>
        <v>5.268122455756548</v>
      </c>
      <c r="AG66" s="26">
        <f>FR!AG14</f>
        <v>5.128238228530468</v>
      </c>
    </row>
    <row r="67" spans="1:33" x14ac:dyDescent="0.25">
      <c r="A67" s="28">
        <f>FR!A15</f>
        <v>2018</v>
      </c>
      <c r="B67" s="23">
        <f>FR!B15</f>
        <v>287.10000000000002</v>
      </c>
      <c r="C67">
        <f>FR!C15</f>
        <v>50.774999999999999</v>
      </c>
      <c r="D67" s="23">
        <f>FR!D15</f>
        <v>236.32500000000002</v>
      </c>
      <c r="E67">
        <f>FR!E15</f>
        <v>28.86</v>
      </c>
      <c r="F67">
        <f>FR!F15</f>
        <v>128.93159800000001</v>
      </c>
      <c r="G67" s="23">
        <f>FR!G15</f>
        <v>3720.9659182800001</v>
      </c>
      <c r="H67" s="23">
        <f>FR!H15</f>
        <v>909.31799999999998</v>
      </c>
      <c r="I67" s="23">
        <f>FR!I15</f>
        <v>59.475999999999999</v>
      </c>
      <c r="J67" s="23">
        <f>FR!J15</f>
        <v>968.79399999999998</v>
      </c>
      <c r="K67" s="23">
        <f>FR!K15</f>
        <v>2752.1719182800002</v>
      </c>
      <c r="L67" s="23">
        <f>FR!L15</f>
        <v>1145.8130000000001</v>
      </c>
      <c r="M67" s="23">
        <f>FR!M15</f>
        <v>296.47000000000003</v>
      </c>
      <c r="N67" s="23">
        <f>FR!N15</f>
        <v>0</v>
      </c>
      <c r="O67" s="23">
        <f>FR!O15</f>
        <v>1442.2830000000001</v>
      </c>
      <c r="P67" s="23">
        <f>FR!P15</f>
        <v>5163.24891828</v>
      </c>
      <c r="Q67" s="23">
        <f>FR!Q15</f>
        <v>4194.4549182800001</v>
      </c>
      <c r="R67" s="23">
        <f>FR!R15</f>
        <v>204.369</v>
      </c>
      <c r="S67" s="23">
        <f>FR!S15</f>
        <v>14.065</v>
      </c>
      <c r="T67" s="23">
        <f>FR!T15</f>
        <v>24.297000000000001</v>
      </c>
      <c r="U67" s="23">
        <f>FR!U15</f>
        <v>38.362000000000002</v>
      </c>
      <c r="V67" s="23">
        <f>FR!V15</f>
        <v>166.00700000000001</v>
      </c>
      <c r="W67" s="23">
        <f>FR!W15</f>
        <v>210.495</v>
      </c>
      <c r="X67" s="23">
        <f>FR!X15</f>
        <v>109.649</v>
      </c>
      <c r="Y67" s="24">
        <f>FR!Y15</f>
        <v>2.69E-2</v>
      </c>
      <c r="Z67" s="24">
        <f>FR!Z15</f>
        <v>6.8447511200747324E-2</v>
      </c>
      <c r="AA67" s="24">
        <f>FR!AA15</f>
        <v>8.5868545649464334E-2</v>
      </c>
      <c r="AB67" s="25">
        <f>FR!AB15</f>
        <v>14.609734999233716</v>
      </c>
      <c r="AC67" s="25">
        <f>FR!AC15</f>
        <v>11.645707894975141</v>
      </c>
      <c r="AD67" s="24">
        <f>FR!AD15</f>
        <v>0.20599999999999999</v>
      </c>
      <c r="AE67" s="24">
        <f>FR!AE15</f>
        <v>0.98499999999999999</v>
      </c>
      <c r="AF67" s="26">
        <f>FR!AF15</f>
        <v>5.0869947189464879</v>
      </c>
      <c r="AG67" s="26">
        <f>FR!AG15</f>
        <v>5.0329900165773909</v>
      </c>
    </row>
    <row r="68" spans="1:33" x14ac:dyDescent="0.25">
      <c r="A68" s="28">
        <f>FR!A16</f>
        <v>2017</v>
      </c>
      <c r="B68" s="23">
        <f>FR!B16</f>
        <v>282.90800000000002</v>
      </c>
      <c r="C68">
        <f>FR!C16</f>
        <v>57.198999999999998</v>
      </c>
      <c r="D68" s="23">
        <f>FR!D16</f>
        <v>225.709</v>
      </c>
      <c r="E68">
        <f>FR!E16</f>
        <v>31.47</v>
      </c>
      <c r="F68">
        <f>FR!F16</f>
        <v>123.891401</v>
      </c>
      <c r="G68" s="23">
        <f>FR!G16</f>
        <v>3898.8623894699999</v>
      </c>
      <c r="H68" s="23">
        <f>FR!H16</f>
        <v>864.81299999999999</v>
      </c>
      <c r="I68" s="23">
        <f>FR!I16</f>
        <v>109.47499999999999</v>
      </c>
      <c r="J68" s="23">
        <f>FR!J16</f>
        <v>974.28800000000001</v>
      </c>
      <c r="K68" s="23">
        <f>FR!K16</f>
        <v>2924.5743894699999</v>
      </c>
      <c r="L68" s="23">
        <f>FR!L16</f>
        <v>846.94100000000003</v>
      </c>
      <c r="M68" s="23">
        <f>FR!M16</f>
        <v>450.05599999999998</v>
      </c>
      <c r="N68" s="23">
        <f>FR!N16</f>
        <v>0</v>
      </c>
      <c r="O68" s="23">
        <f>FR!O16</f>
        <v>1296.9970000000001</v>
      </c>
      <c r="P68" s="23">
        <f>FR!P16</f>
        <v>5195.8593894699998</v>
      </c>
      <c r="Q68" s="23">
        <f>FR!Q16</f>
        <v>4221.5713894700002</v>
      </c>
      <c r="R68" s="23">
        <f>FR!R16</f>
        <v>192.86</v>
      </c>
      <c r="S68" s="23">
        <f>FR!S16</f>
        <v>14.981999999999999</v>
      </c>
      <c r="T68" s="23">
        <f>FR!T16</f>
        <v>23.504999999999999</v>
      </c>
      <c r="U68" s="23">
        <f>FR!U16</f>
        <v>38.486999999999995</v>
      </c>
      <c r="V68" s="23">
        <f>FR!V16</f>
        <v>154.37300000000002</v>
      </c>
      <c r="W68" s="23">
        <f>FR!W16</f>
        <v>192.56200000000001</v>
      </c>
      <c r="X68" s="23">
        <f>FR!X16</f>
        <v>100.524</v>
      </c>
      <c r="Y68" s="24">
        <f>FR!Y16</f>
        <v>2.4E-2</v>
      </c>
      <c r="Z68" s="24">
        <f>FR!Z16</f>
        <v>6.7014856293954053E-2</v>
      </c>
      <c r="AA68" s="24">
        <f>FR!AA16</f>
        <v>7.7176699902957044E-2</v>
      </c>
      <c r="AB68" s="25">
        <f>FR!AB16</f>
        <v>14.922064379480256</v>
      </c>
      <c r="AC68" s="25">
        <f>FR!AC16</f>
        <v>12.957278573162789</v>
      </c>
      <c r="AD68" s="24">
        <f>FR!AD16</f>
        <v>0.182</v>
      </c>
      <c r="AE68" s="24">
        <f>FR!AE16</f>
        <v>0.97299999999999998</v>
      </c>
      <c r="AF68" s="26">
        <f>FR!AF16</f>
        <v>4.8079508237324458</v>
      </c>
      <c r="AG68" s="26">
        <f>FR!AG16</f>
        <v>4.7349328347874255</v>
      </c>
    </row>
    <row r="69" spans="1:33" x14ac:dyDescent="0.25">
      <c r="A69" s="28">
        <f>FR!A17</f>
        <v>2016</v>
      </c>
      <c r="B69" s="23">
        <f>FR!B17</f>
        <v>265.69600000000003</v>
      </c>
      <c r="C69">
        <f>FR!C17</f>
        <v>59.43</v>
      </c>
      <c r="D69" s="23">
        <f>FR!D17</f>
        <v>206.26600000000002</v>
      </c>
      <c r="E69">
        <f>FR!E17</f>
        <v>28.05</v>
      </c>
      <c r="F69">
        <f>FR!F17</f>
        <v>121.147121</v>
      </c>
      <c r="G69" s="23">
        <f>FR!G17</f>
        <v>3398.1767440500003</v>
      </c>
      <c r="H69" s="23">
        <f>FR!H17</f>
        <v>794.82100000000003</v>
      </c>
      <c r="I69" s="23">
        <f>FR!I17</f>
        <v>67.078000000000003</v>
      </c>
      <c r="J69" s="23">
        <f>FR!J17</f>
        <v>861.899</v>
      </c>
      <c r="K69" s="23">
        <f>FR!K17</f>
        <v>2536.2777440500004</v>
      </c>
      <c r="L69" s="23">
        <f>FR!L17</f>
        <v>851.13599999999997</v>
      </c>
      <c r="M69" s="23">
        <f>FR!M17</f>
        <v>495.95600000000002</v>
      </c>
      <c r="N69" s="23">
        <f>FR!N17</f>
        <v>0</v>
      </c>
      <c r="O69" s="23">
        <f>FR!O17</f>
        <v>1347.0920000000001</v>
      </c>
      <c r="P69" s="23">
        <f>FR!P17</f>
        <v>4745.2687440500004</v>
      </c>
      <c r="Q69" s="23">
        <f>FR!Q17</f>
        <v>3883.3697440500005</v>
      </c>
      <c r="R69" s="23">
        <f>FR!R17</f>
        <v>173.988</v>
      </c>
      <c r="S69" s="23">
        <f>FR!S17</f>
        <v>16.300999999999998</v>
      </c>
      <c r="T69" s="23">
        <f>FR!T17</f>
        <v>26.17</v>
      </c>
      <c r="U69" s="23">
        <f>FR!U17</f>
        <v>42.471000000000004</v>
      </c>
      <c r="V69" s="23">
        <f>FR!V17</f>
        <v>131.517</v>
      </c>
      <c r="W69" s="23">
        <f>FR!W17</f>
        <v>173.33500000000001</v>
      </c>
      <c r="X69" s="23">
        <f>FR!X17</f>
        <v>82.695999999999998</v>
      </c>
      <c r="Y69" s="24">
        <f>FR!Y17</f>
        <v>2.4500000000000001E-2</v>
      </c>
      <c r="Z69" s="24">
        <f>FR!Z17</f>
        <v>6.8418929309291915E-2</v>
      </c>
      <c r="AA69" s="24">
        <f>FR!AA17</f>
        <v>8.1326266606207176E-2</v>
      </c>
      <c r="AB69" s="25">
        <f>FR!AB17</f>
        <v>14.615838191203482</v>
      </c>
      <c r="AC69" s="25">
        <f>FR!AC17</f>
        <v>12.296150330398612</v>
      </c>
      <c r="AD69" s="24">
        <f>FR!AD17</f>
        <v>0.159</v>
      </c>
      <c r="AE69" s="24">
        <f>FR!AE17</f>
        <v>0.96</v>
      </c>
      <c r="AF69" s="26">
        <f>FR!AF17</f>
        <v>4.9123277393774076</v>
      </c>
      <c r="AG69" s="26">
        <f>FR!AG17</f>
        <v>4.7987906524057529</v>
      </c>
    </row>
    <row r="71" spans="1:33" x14ac:dyDescent="0.25">
      <c r="A71" s="22" t="s">
        <v>546</v>
      </c>
    </row>
    <row r="72" spans="1:33" x14ac:dyDescent="0.25">
      <c r="A72" s="28">
        <f>STAG!A8</f>
        <v>2025</v>
      </c>
      <c r="B72" s="23">
        <f>STAG!B8</f>
        <v>673.35900000000004</v>
      </c>
      <c r="C72">
        <f>STAG!C8</f>
        <v>132.16</v>
      </c>
      <c r="D72" s="23">
        <f>STAG!D8</f>
        <v>541.19900000000007</v>
      </c>
      <c r="E72">
        <f>STAG!E8</f>
        <v>36.76</v>
      </c>
      <c r="F72">
        <f>STAG!F8</f>
        <v>194.79496799999998</v>
      </c>
      <c r="G72" s="23">
        <f>STAG!G8</f>
        <v>7160.6630236799992</v>
      </c>
      <c r="H72" s="23">
        <f>STAG!H8</f>
        <v>811.56899999999996</v>
      </c>
      <c r="I72" s="23">
        <f>STAG!I8</f>
        <v>148.37100000000001</v>
      </c>
      <c r="J72" s="23">
        <f>STAG!J8</f>
        <v>959.93999999999994</v>
      </c>
      <c r="K72" s="23">
        <f>STAG!K8</f>
        <v>6200.7230236799996</v>
      </c>
      <c r="L72" s="23">
        <f>STAG!L8</f>
        <v>3250.335</v>
      </c>
      <c r="M72" s="23">
        <f>STAG!M8</f>
        <v>3.98</v>
      </c>
      <c r="N72" s="23">
        <f>STAG!N8</f>
        <v>0</v>
      </c>
      <c r="O72" s="23">
        <f>STAG!O8</f>
        <v>3254.3150000000001</v>
      </c>
      <c r="P72" s="23">
        <f>STAG!P8</f>
        <v>10414.97802368</v>
      </c>
      <c r="Q72" s="23">
        <f>STAG!Q8</f>
        <v>9455.0380236799992</v>
      </c>
      <c r="R72" s="23">
        <f>STAG!R8</f>
        <v>486.976</v>
      </c>
      <c r="S72" s="23">
        <f>STAG!S8</f>
        <v>0</v>
      </c>
      <c r="T72" s="23">
        <f>STAG!T8</f>
        <v>0</v>
      </c>
      <c r="U72" s="23">
        <f>STAG!U8</f>
        <v>31.396999999999998</v>
      </c>
      <c r="V72" s="23">
        <f>STAG!V8</f>
        <v>455.57900000000001</v>
      </c>
      <c r="W72" s="23">
        <f>STAG!W8</f>
        <v>463.38799999999998</v>
      </c>
      <c r="X72" s="23">
        <f>STAG!X8</f>
        <v>283.971</v>
      </c>
      <c r="Y72" s="24">
        <f>STAG!Y8</f>
        <v>4.1799999999999997E-2</v>
      </c>
      <c r="Z72" s="24">
        <f>STAG!Z8</f>
        <v>7.1216953153819443E-2</v>
      </c>
      <c r="AA72" s="24">
        <f>STAG!AA8</f>
        <v>8.7279982984760016E-2</v>
      </c>
      <c r="AB72" s="25">
        <f>STAG!AB8</f>
        <v>14.041600429607385</v>
      </c>
      <c r="AC72" s="25">
        <f>STAG!AC8</f>
        <v>11.457380785404258</v>
      </c>
      <c r="AD72" s="24">
        <f>STAG!AD8</f>
        <v>0.3816301906005985</v>
      </c>
      <c r="AE72" s="24">
        <f>STAG!AE8</f>
        <v>0.96399999999999997</v>
      </c>
      <c r="AF72" s="26">
        <f>STAG!AF8</f>
        <v>4.8683993301673478</v>
      </c>
      <c r="AG72" s="26">
        <f>STAG!AG8</f>
        <v>4.8714038324312092</v>
      </c>
    </row>
    <row r="73" spans="1:33" x14ac:dyDescent="0.25">
      <c r="A73" s="28">
        <f>STAG!A9</f>
        <v>2024</v>
      </c>
      <c r="B73" s="23">
        <f>STAG!B9</f>
        <v>612.55600000000004</v>
      </c>
      <c r="C73">
        <f>STAG!C9</f>
        <v>113.169</v>
      </c>
      <c r="D73" s="23">
        <f>STAG!D9</f>
        <v>499.38700000000006</v>
      </c>
      <c r="E73">
        <f>STAG!E9</f>
        <v>33.82</v>
      </c>
      <c r="F73">
        <f>STAG!F9</f>
        <v>190.28990300000001</v>
      </c>
      <c r="G73" s="23">
        <f>STAG!G9</f>
        <v>6435.6045194600001</v>
      </c>
      <c r="H73" s="23">
        <f>STAG!H9</f>
        <v>771.79399999999998</v>
      </c>
      <c r="I73" s="23">
        <f>STAG!I9</f>
        <v>218.61600000000001</v>
      </c>
      <c r="J73" s="23">
        <f>STAG!J9</f>
        <v>990.41</v>
      </c>
      <c r="K73" s="23">
        <f>STAG!K9</f>
        <v>5445.1945194600003</v>
      </c>
      <c r="L73" s="23">
        <f>STAG!L9</f>
        <v>3024.94</v>
      </c>
      <c r="M73" s="23">
        <f>STAG!M9</f>
        <v>4.1950000000000003</v>
      </c>
      <c r="N73" s="23">
        <f>STAG!N9</f>
        <v>0</v>
      </c>
      <c r="O73" s="23">
        <f>STAG!O9</f>
        <v>3029.1350000000002</v>
      </c>
      <c r="P73" s="23">
        <f>STAG!P9</f>
        <v>9464.7395194599994</v>
      </c>
      <c r="Q73" s="23">
        <f>STAG!Q9</f>
        <v>8474.3295194599996</v>
      </c>
      <c r="R73" s="23">
        <f>STAG!R9</f>
        <v>446.46600000000001</v>
      </c>
      <c r="S73" s="23">
        <f>STAG!S9</f>
        <v>0</v>
      </c>
      <c r="T73" s="23">
        <f>STAG!T9</f>
        <v>0</v>
      </c>
      <c r="U73" s="23">
        <f>STAG!U9</f>
        <v>27.158000000000001</v>
      </c>
      <c r="V73" s="23">
        <f>STAG!V9</f>
        <v>419.30799999999999</v>
      </c>
      <c r="W73" s="23">
        <f>STAG!W9</f>
        <v>460.29199999999997</v>
      </c>
      <c r="X73" s="23">
        <f>STAG!X9</f>
        <v>274.92</v>
      </c>
      <c r="Y73" s="24">
        <f>STAG!Y9</f>
        <v>4.58E-2</v>
      </c>
      <c r="Z73" s="24">
        <f>STAG!Z9</f>
        <v>7.228371266344541E-2</v>
      </c>
      <c r="AA73" s="24">
        <f>STAG!AA9</f>
        <v>9.1711507865383707E-2</v>
      </c>
      <c r="AB73" s="25">
        <f>STAG!AB9</f>
        <v>13.834375174612605</v>
      </c>
      <c r="AC73" s="25">
        <f>STAG!AC9</f>
        <v>10.90375704505724</v>
      </c>
      <c r="AD73" s="24">
        <f>STAG!AD9</f>
        <v>0.41667142254378831</v>
      </c>
      <c r="AE73" s="24">
        <f>STAG!AE9</f>
        <v>0.96499999999999997</v>
      </c>
      <c r="AF73" s="26">
        <f>STAG!AF9</f>
        <v>4.8658622080001095</v>
      </c>
      <c r="AG73" s="26">
        <f>STAG!AG9</f>
        <v>4.9047011071517046</v>
      </c>
    </row>
    <row r="74" spans="1:33" x14ac:dyDescent="0.25">
      <c r="A74" s="28">
        <f>STAG!A10</f>
        <v>2023</v>
      </c>
      <c r="B74" s="23">
        <f>STAG!B10</f>
        <v>568.23900000000003</v>
      </c>
      <c r="C74">
        <f>STAG!C10</f>
        <v>94.575000000000003</v>
      </c>
      <c r="D74" s="23">
        <f>STAG!D10</f>
        <v>473.66400000000004</v>
      </c>
      <c r="E74">
        <f>STAG!E10</f>
        <v>39.26</v>
      </c>
      <c r="F74">
        <f>STAG!F10</f>
        <v>185.52050499999999</v>
      </c>
      <c r="G74" s="23">
        <f>STAG!G10</f>
        <v>7283.5350262999991</v>
      </c>
      <c r="H74" s="23">
        <f>STAG!H10</f>
        <v>698.63300000000004</v>
      </c>
      <c r="I74" s="23">
        <f>STAG!I10</f>
        <v>98.853999999999999</v>
      </c>
      <c r="J74" s="23">
        <f>STAG!J10</f>
        <v>797.48700000000008</v>
      </c>
      <c r="K74" s="23">
        <f>STAG!K10</f>
        <v>6486.048026299999</v>
      </c>
      <c r="L74" s="23">
        <f>STAG!L10</f>
        <v>2619.6450000000004</v>
      </c>
      <c r="M74" s="23">
        <f>STAG!M10</f>
        <v>4.4009999999999998</v>
      </c>
      <c r="N74" s="23">
        <f>STAG!N10</f>
        <v>0</v>
      </c>
      <c r="O74" s="23">
        <f>STAG!O10</f>
        <v>2624.0460000000003</v>
      </c>
      <c r="P74" s="23">
        <f>STAG!P10</f>
        <v>9907.5810262999985</v>
      </c>
      <c r="Q74" s="23">
        <f>STAG!Q10</f>
        <v>9110.0940262999993</v>
      </c>
      <c r="R74" s="23">
        <f>STAG!R10</f>
        <v>422.375</v>
      </c>
      <c r="S74" s="23">
        <f>STAG!S10</f>
        <v>0</v>
      </c>
      <c r="T74" s="23">
        <f>STAG!T10</f>
        <v>0</v>
      </c>
      <c r="U74" s="23">
        <f>STAG!U10</f>
        <v>21.117000000000001</v>
      </c>
      <c r="V74" s="23">
        <f>STAG!V10</f>
        <v>401.25799999999998</v>
      </c>
      <c r="W74" s="23">
        <f>STAG!W10</f>
        <v>391.09199999999998</v>
      </c>
      <c r="X74" s="23">
        <f>STAG!X10</f>
        <v>267.56700000000001</v>
      </c>
      <c r="Y74" s="24">
        <f>STAG!Y10</f>
        <v>3.8800000000000001E-2</v>
      </c>
      <c r="Z74" s="24">
        <f>STAG!Z10</f>
        <v>6.2374658083609959E-2</v>
      </c>
      <c r="AA74" s="24">
        <f>STAG!AA10</f>
        <v>7.3028136405922386E-2</v>
      </c>
      <c r="AB74" s="25">
        <f>STAG!AB10</f>
        <v>16.032152010509659</v>
      </c>
      <c r="AC74" s="25">
        <f>STAG!AC10</f>
        <v>13.693352305220575</v>
      </c>
      <c r="AD74" s="24">
        <f>STAG!AD10</f>
        <v>0.43600850773877359</v>
      </c>
      <c r="AE74" s="24">
        <f>STAG!AE10</f>
        <v>0.98199999999999998</v>
      </c>
      <c r="AF74" s="26">
        <f>STAG!AF10</f>
        <v>4.947004604657109</v>
      </c>
      <c r="AG74" s="26">
        <f>STAG!AG10</f>
        <v>4.9943243885881268</v>
      </c>
    </row>
    <row r="75" spans="1:33" x14ac:dyDescent="0.25">
      <c r="A75" s="28">
        <f>STAG!A11</f>
        <v>2022</v>
      </c>
      <c r="B75" s="23">
        <f>STAG!B11</f>
        <v>531.64400000000001</v>
      </c>
      <c r="C75">
        <f>STAG!C11</f>
        <v>78.018000000000001</v>
      </c>
      <c r="D75" s="23">
        <f>STAG!D11</f>
        <v>453.62599999999998</v>
      </c>
      <c r="E75">
        <f>STAG!E11</f>
        <v>32.31</v>
      </c>
      <c r="F75">
        <f>STAG!F11</f>
        <v>183.13369599999999</v>
      </c>
      <c r="G75" s="23">
        <f>STAG!G11</f>
        <v>5917.04971776</v>
      </c>
      <c r="H75" s="23">
        <f>STAG!H11</f>
        <v>647.09799999999996</v>
      </c>
      <c r="I75" s="23">
        <f>STAG!I11</f>
        <v>89.980999999999995</v>
      </c>
      <c r="J75" s="23">
        <f>STAG!J11</f>
        <v>737.07899999999995</v>
      </c>
      <c r="K75" s="23">
        <f>STAG!K11</f>
        <v>5179.9707177600003</v>
      </c>
      <c r="L75" s="23">
        <f>STAG!L11</f>
        <v>2490.8820000000001</v>
      </c>
      <c r="M75" s="23">
        <f>STAG!M11</f>
        <v>7.8979999999999997</v>
      </c>
      <c r="N75" s="23">
        <f>STAG!N11</f>
        <v>0</v>
      </c>
      <c r="O75" s="23">
        <f>STAG!O11</f>
        <v>2498.7800000000002</v>
      </c>
      <c r="P75" s="23">
        <f>STAG!P11</f>
        <v>8415.8297177599998</v>
      </c>
      <c r="Q75" s="23">
        <f>STAG!Q11</f>
        <v>7678.75071776</v>
      </c>
      <c r="R75" s="23">
        <f>STAG!R11</f>
        <v>403.35399999999998</v>
      </c>
      <c r="S75" s="23">
        <f>STAG!S11</f>
        <v>0</v>
      </c>
      <c r="T75" s="23">
        <f>STAG!T11</f>
        <v>0</v>
      </c>
      <c r="U75" s="23">
        <f>STAG!U11</f>
        <v>26.69</v>
      </c>
      <c r="V75" s="23">
        <f>STAG!V11</f>
        <v>376.66399999999999</v>
      </c>
      <c r="W75" s="23">
        <f>STAG!W11</f>
        <v>387.93099999999998</v>
      </c>
      <c r="X75" s="23">
        <f>STAG!X11</f>
        <v>266.81700000000001</v>
      </c>
      <c r="Y75" s="24">
        <f>STAG!Y11</f>
        <v>3.8800000000000001E-2</v>
      </c>
      <c r="Z75" s="24">
        <f>STAG!Z11</f>
        <v>6.9235741534149978E-2</v>
      </c>
      <c r="AA75" s="24">
        <f>STAG!AA11</f>
        <v>8.7573081918147153E-2</v>
      </c>
      <c r="AB75" s="25">
        <f>STAG!AB11</f>
        <v>14.443407087750449</v>
      </c>
      <c r="AC75" s="25">
        <f>STAG!AC11</f>
        <v>11.419034001049324</v>
      </c>
      <c r="AD75" s="24">
        <f>STAG!AD11</f>
        <v>0.24347462750793306</v>
      </c>
      <c r="AE75" s="24">
        <f>STAG!AE11</f>
        <v>0.98499999999999999</v>
      </c>
      <c r="AF75" s="26">
        <f>STAG!AF11</f>
        <v>5.1672642523078247</v>
      </c>
      <c r="AG75" s="26">
        <f>STAG!AG11</f>
        <v>5.2907163299335433</v>
      </c>
    </row>
    <row r="76" spans="1:33" x14ac:dyDescent="0.25">
      <c r="A76" s="28">
        <f>STAG!A12</f>
        <v>2021</v>
      </c>
      <c r="B76" s="23">
        <f>STAG!B12</f>
        <v>454.173</v>
      </c>
      <c r="C76">
        <f>STAG!C12</f>
        <v>63.484000000000002</v>
      </c>
      <c r="D76" s="23">
        <f>STAG!D12</f>
        <v>390.68900000000002</v>
      </c>
      <c r="E76">
        <f>STAG!E12</f>
        <v>47.96</v>
      </c>
      <c r="F76">
        <f>STAG!F12</f>
        <v>181.289106</v>
      </c>
      <c r="G76" s="23">
        <f>STAG!G12</f>
        <v>8694.6255237599999</v>
      </c>
      <c r="H76" s="23">
        <f>STAG!H12</f>
        <v>617.29700000000003</v>
      </c>
      <c r="I76" s="23">
        <f>STAG!I12</f>
        <v>36.493000000000002</v>
      </c>
      <c r="J76" s="23">
        <f>STAG!J12</f>
        <v>653.79000000000008</v>
      </c>
      <c r="K76" s="23">
        <f>STAG!K12</f>
        <v>8040.8355237599999</v>
      </c>
      <c r="L76" s="23">
        <f>STAG!L12</f>
        <v>2163.518</v>
      </c>
      <c r="M76" s="23">
        <f>STAG!M12</f>
        <v>54.744</v>
      </c>
      <c r="N76" s="23">
        <f>STAG!N12</f>
        <v>0</v>
      </c>
      <c r="O76" s="23">
        <f>STAG!O12</f>
        <v>2218.2620000000002</v>
      </c>
      <c r="P76" s="23">
        <f>STAG!P12</f>
        <v>10912.88752376</v>
      </c>
      <c r="Q76" s="23">
        <f>STAG!Q12</f>
        <v>10259.09752376</v>
      </c>
      <c r="R76" s="23">
        <f>STAG!R12</f>
        <v>344.25700000000001</v>
      </c>
      <c r="S76" s="23">
        <f>STAG!S12</f>
        <v>0</v>
      </c>
      <c r="T76" s="23">
        <f>STAG!T12</f>
        <v>0</v>
      </c>
      <c r="U76" s="23">
        <f>STAG!U12</f>
        <v>18.37</v>
      </c>
      <c r="V76" s="23">
        <f>STAG!V12</f>
        <v>325.887</v>
      </c>
      <c r="W76" s="23">
        <f>STAG!W12</f>
        <v>336.154</v>
      </c>
      <c r="X76" s="23">
        <f>STAG!X12</f>
        <v>245.72200000000001</v>
      </c>
      <c r="Y76" s="24">
        <f>STAG!Y12</f>
        <v>1.52E-2</v>
      </c>
      <c r="Z76" s="24">
        <f>STAG!Z12</f>
        <v>4.4270268310456981E-2</v>
      </c>
      <c r="AA76" s="24">
        <f>STAG!AA12</f>
        <v>4.8588109885539452E-2</v>
      </c>
      <c r="AB76" s="25">
        <f>STAG!AB12</f>
        <v>22.588523588500415</v>
      </c>
      <c r="AC76" s="25">
        <f>STAG!AC12</f>
        <v>20.581166922437028</v>
      </c>
      <c r="AD76" s="24">
        <f>STAG!AD12</f>
        <v>0.17450560777536417</v>
      </c>
      <c r="AE76" s="24">
        <f>STAG!AE12</f>
        <v>0.96899999999999997</v>
      </c>
      <c r="AF76" s="26">
        <f>STAG!AF12</f>
        <v>5.4443223764788886</v>
      </c>
      <c r="AG76" s="26">
        <f>STAG!AG12</f>
        <v>5.582347891946478</v>
      </c>
    </row>
    <row r="77" spans="1:33" x14ac:dyDescent="0.25">
      <c r="A77" s="28">
        <f>STAG!A13</f>
        <v>2020</v>
      </c>
      <c r="B77" s="23">
        <f>STAG!B13</f>
        <v>394.05200000000002</v>
      </c>
      <c r="C77">
        <f>STAG!C13</f>
        <v>62.343000000000004</v>
      </c>
      <c r="D77" s="23">
        <f>STAG!D13</f>
        <v>331.709</v>
      </c>
      <c r="E77">
        <f>STAG!E13</f>
        <v>31.32</v>
      </c>
      <c r="F77">
        <f>STAG!F13</f>
        <v>161.49506099999999</v>
      </c>
      <c r="G77" s="23">
        <f>STAG!G13</f>
        <v>5058.0253105199999</v>
      </c>
      <c r="H77" s="23">
        <f>STAG!H13</f>
        <v>492.78300000000002</v>
      </c>
      <c r="I77" s="23">
        <f>STAG!I13</f>
        <v>18.052</v>
      </c>
      <c r="J77" s="23">
        <f>STAG!J13</f>
        <v>510.83500000000004</v>
      </c>
      <c r="K77" s="23">
        <f>STAG!K13</f>
        <v>4547.1903105199999</v>
      </c>
      <c r="L77" s="23">
        <f>STAG!L13</f>
        <v>1651.3919999999998</v>
      </c>
      <c r="M77" s="23">
        <f>STAG!M13</f>
        <v>51.898000000000003</v>
      </c>
      <c r="N77" s="23">
        <f>STAG!N13</f>
        <v>75</v>
      </c>
      <c r="O77" s="23">
        <f>STAG!O13</f>
        <v>1778.2899999999997</v>
      </c>
      <c r="P77" s="23">
        <f>STAG!P13</f>
        <v>6836.3153105199999</v>
      </c>
      <c r="Q77" s="23">
        <f>STAG!Q13</f>
        <v>6325.4803105199999</v>
      </c>
      <c r="R77" s="23">
        <f>STAG!R13</f>
        <v>288.71499999999997</v>
      </c>
      <c r="S77" s="23">
        <f>STAG!S13</f>
        <v>0</v>
      </c>
      <c r="T77" s="23">
        <f>STAG!T13</f>
        <v>0</v>
      </c>
      <c r="U77" s="23">
        <f>STAG!U13</f>
        <v>15.594000000000001</v>
      </c>
      <c r="V77" s="23">
        <f>STAG!V13</f>
        <v>273.12099999999998</v>
      </c>
      <c r="W77" s="23">
        <f>STAG!W13</f>
        <v>293.92200000000003</v>
      </c>
      <c r="X77" s="23">
        <f>STAG!X13</f>
        <v>224.28299999999999</v>
      </c>
      <c r="Y77" s="24">
        <f>STAG!Y13</f>
        <v>9.300000000000001E-3</v>
      </c>
      <c r="Z77" s="24">
        <f>STAG!Z13</f>
        <v>6.2295980803963029E-2</v>
      </c>
      <c r="AA77" s="24">
        <f>STAG!AA13</f>
        <v>7.2948123423069791E-2</v>
      </c>
      <c r="AB77" s="25">
        <f>STAG!AB13</f>
        <v>16.052399963761125</v>
      </c>
      <c r="AC77" s="25">
        <f>STAG!AC13</f>
        <v>13.708371827475286</v>
      </c>
      <c r="AD77" s="24">
        <f>STAG!AD13</f>
        <v>7.956997950632437E-2</v>
      </c>
      <c r="AE77" s="24">
        <f>STAG!AE13</f>
        <v>0.96899999999999997</v>
      </c>
      <c r="AF77" s="26">
        <f>STAG!AF13</f>
        <v>5.5706075689232977</v>
      </c>
      <c r="AG77" s="26">
        <f>STAG!AG13</f>
        <v>5.6544523219129443</v>
      </c>
    </row>
    <row r="78" spans="1:33" x14ac:dyDescent="0.25">
      <c r="A78" s="28">
        <f>STAG!A14</f>
        <v>2019</v>
      </c>
      <c r="B78" s="23">
        <f>STAG!B14</f>
        <v>330.77100000000002</v>
      </c>
      <c r="C78">
        <f>STAG!C14</f>
        <v>54.646999999999998</v>
      </c>
      <c r="D78" s="23">
        <f>STAG!D14</f>
        <v>276.12400000000002</v>
      </c>
      <c r="E78">
        <f>STAG!E14</f>
        <v>31.57</v>
      </c>
      <c r="F78">
        <f>STAG!F14</f>
        <v>146.55244500000001</v>
      </c>
      <c r="G78" s="23">
        <f>STAG!G14</f>
        <v>4626.6606886500003</v>
      </c>
      <c r="H78" s="23">
        <f>STAG!H14</f>
        <v>435.923</v>
      </c>
      <c r="I78" s="23">
        <f>STAG!I14</f>
        <v>29.405999999999999</v>
      </c>
      <c r="J78" s="23">
        <f>STAG!J14</f>
        <v>465.32900000000001</v>
      </c>
      <c r="K78" s="23">
        <f>STAG!K14</f>
        <v>4161.3316886500006</v>
      </c>
      <c r="L78" s="23">
        <f>STAG!L14</f>
        <v>1590.258</v>
      </c>
      <c r="M78" s="23">
        <f>STAG!M14</f>
        <v>54.755000000000003</v>
      </c>
      <c r="N78" s="23">
        <f>STAG!N14</f>
        <v>75</v>
      </c>
      <c r="O78" s="23">
        <f>STAG!O14</f>
        <v>1720.0130000000001</v>
      </c>
      <c r="P78" s="23">
        <f>STAG!P14</f>
        <v>6346.6736886500003</v>
      </c>
      <c r="Q78" s="23">
        <f>STAG!Q14</f>
        <v>5881.3446886500005</v>
      </c>
      <c r="R78" s="23">
        <f>STAG!R14</f>
        <v>237.345</v>
      </c>
      <c r="S78" s="23">
        <f>STAG!S14</f>
        <v>0</v>
      </c>
      <c r="T78" s="23">
        <f>STAG!T14</f>
        <v>0</v>
      </c>
      <c r="U78" s="23">
        <f>STAG!U14</f>
        <v>10.679</v>
      </c>
      <c r="V78" s="23">
        <f>STAG!V14</f>
        <v>226.666</v>
      </c>
      <c r="W78" s="23">
        <f>STAG!W14</f>
        <v>233.357</v>
      </c>
      <c r="X78" s="23">
        <f>STAG!X14</f>
        <v>189.58099999999999</v>
      </c>
      <c r="Y78" s="24">
        <f>STAG!Y14</f>
        <v>1.9199999999999998E-2</v>
      </c>
      <c r="Z78" s="24">
        <f>STAG!Z14</f>
        <v>5.6240709822420722E-2</v>
      </c>
      <c r="AA78" s="24">
        <f>STAG!AA14</f>
        <v>6.6354720233699718E-2</v>
      </c>
      <c r="AB78" s="25">
        <f>STAG!AB14</f>
        <v>17.780714417678698</v>
      </c>
      <c r="AC78" s="25">
        <f>STAG!AC14</f>
        <v>15.070517914596342</v>
      </c>
      <c r="AD78" s="24">
        <f>STAG!AD14</f>
        <v>0.18478497864366686</v>
      </c>
      <c r="AE78" s="24">
        <f>STAG!AE14</f>
        <v>0.95</v>
      </c>
      <c r="AF78" s="26">
        <f>STAG!AF14</f>
        <v>5.5025748153911556</v>
      </c>
      <c r="AG78" s="26">
        <f>STAG!AG14</f>
        <v>5.570813092759658</v>
      </c>
    </row>
    <row r="79" spans="1:33" x14ac:dyDescent="0.25">
      <c r="A79" s="28">
        <f>STAG!A15</f>
        <v>2018</v>
      </c>
      <c r="B79" s="23">
        <f>STAG!B15</f>
        <v>281.97199999999998</v>
      </c>
      <c r="C79">
        <f>STAG!C15</f>
        <v>48.817</v>
      </c>
      <c r="D79" s="23">
        <f>STAG!D15</f>
        <v>233.15499999999997</v>
      </c>
      <c r="E79">
        <f>STAG!E15</f>
        <v>24.88</v>
      </c>
      <c r="F79">
        <f>STAG!F15</f>
        <v>116.23522</v>
      </c>
      <c r="G79" s="23">
        <f>STAG!G15</f>
        <v>2891.9322735999999</v>
      </c>
      <c r="H79" s="23">
        <f>STAG!H15</f>
        <v>364.02300000000002</v>
      </c>
      <c r="I79" s="23">
        <f>STAG!I15</f>
        <v>3.9489999999999998</v>
      </c>
      <c r="J79" s="23">
        <f>STAG!J15</f>
        <v>367.97200000000004</v>
      </c>
      <c r="K79" s="23">
        <f>STAG!K15</f>
        <v>2523.9602735999997</v>
      </c>
      <c r="L79" s="23">
        <f>STAG!L15</f>
        <v>1269.348</v>
      </c>
      <c r="M79" s="23">
        <f>STAG!M15</f>
        <v>56.56</v>
      </c>
      <c r="N79" s="23">
        <f>STAG!N15</f>
        <v>75</v>
      </c>
      <c r="O79" s="23">
        <f>STAG!O15</f>
        <v>1400.9079999999999</v>
      </c>
      <c r="P79" s="23">
        <f>STAG!P15</f>
        <v>4292.8402735999998</v>
      </c>
      <c r="Q79" s="23">
        <f>STAG!Q15</f>
        <v>3924.8682735999996</v>
      </c>
      <c r="R79" s="23">
        <f>STAG!R15</f>
        <v>194.32400000000001</v>
      </c>
      <c r="S79" s="23">
        <f>STAG!S15</f>
        <v>0</v>
      </c>
      <c r="T79" s="23">
        <f>STAG!T15</f>
        <v>0</v>
      </c>
      <c r="U79" s="23">
        <f>STAG!U15</f>
        <v>10.324999999999999</v>
      </c>
      <c r="V79" s="23">
        <f>STAG!V15</f>
        <v>183.99900000000002</v>
      </c>
      <c r="W79" s="23">
        <f>STAG!W15</f>
        <v>197.76900000000001</v>
      </c>
      <c r="X79" s="23">
        <f>STAG!X15</f>
        <v>158.869</v>
      </c>
      <c r="Y79" s="24">
        <f>STAG!Y15</f>
        <v>2.69E-2</v>
      </c>
      <c r="Z79" s="24">
        <f>STAG!Z15</f>
        <v>7.1842411093549219E-2</v>
      </c>
      <c r="AA79" s="24">
        <f>STAG!AA15</f>
        <v>9.2376652056985059E-2</v>
      </c>
      <c r="AB79" s="25">
        <f>STAG!AB15</f>
        <v>13.919354665002198</v>
      </c>
      <c r="AC79" s="25">
        <f>STAG!AC15</f>
        <v>10.825246182153503</v>
      </c>
      <c r="AD79" s="24">
        <f>STAG!AD15</f>
        <v>0.153600757343827</v>
      </c>
      <c r="AE79" s="24">
        <f>STAG!AE15</f>
        <v>0.95499999999999996</v>
      </c>
      <c r="AF79" s="26">
        <f>STAG!AF15</f>
        <v>5.2431987954111259</v>
      </c>
      <c r="AG79" s="26">
        <f>STAG!AG15</f>
        <v>5.2328625192855158</v>
      </c>
    </row>
    <row r="80" spans="1:33" x14ac:dyDescent="0.25">
      <c r="A80" s="28">
        <f>STAG!A16</f>
        <v>2017</v>
      </c>
      <c r="B80" s="23">
        <f>STAG!B16</f>
        <v>243.334</v>
      </c>
      <c r="C80">
        <f>STAG!C16</f>
        <v>42.469000000000001</v>
      </c>
      <c r="D80" s="23">
        <f>STAG!D16</f>
        <v>200.86500000000001</v>
      </c>
      <c r="E80">
        <f>STAG!E16</f>
        <v>27.33</v>
      </c>
      <c r="F80">
        <f>STAG!F16</f>
        <v>101.10923</v>
      </c>
      <c r="G80" s="23">
        <f>STAG!G16</f>
        <v>2763.3152558999996</v>
      </c>
      <c r="H80" s="23">
        <f>STAG!H16</f>
        <v>321.56</v>
      </c>
      <c r="I80" s="23">
        <f>STAG!I16</f>
        <v>2.8769999999999998</v>
      </c>
      <c r="J80" s="23">
        <f>STAG!J16</f>
        <v>324.43700000000001</v>
      </c>
      <c r="K80" s="23">
        <f>STAG!K16</f>
        <v>2438.8782558999997</v>
      </c>
      <c r="L80" s="23">
        <f>STAG!L16</f>
        <v>1115.499</v>
      </c>
      <c r="M80" s="23">
        <f>STAG!M16</f>
        <v>58.281999999999996</v>
      </c>
      <c r="N80" s="23">
        <f>STAG!N16</f>
        <v>145</v>
      </c>
      <c r="O80" s="23">
        <f>STAG!O16</f>
        <v>1318.7809999999999</v>
      </c>
      <c r="P80" s="23">
        <f>STAG!P16</f>
        <v>4082.0962558999995</v>
      </c>
      <c r="Q80" s="23">
        <f>STAG!Q16</f>
        <v>3757.6592558999996</v>
      </c>
      <c r="R80" s="23">
        <f>STAG!R16</f>
        <v>159.26499999999999</v>
      </c>
      <c r="S80" s="23">
        <f>STAG!S16</f>
        <v>0</v>
      </c>
      <c r="T80" s="23">
        <f>STAG!T16</f>
        <v>0</v>
      </c>
      <c r="U80" s="23">
        <f>STAG!U16</f>
        <v>9.1280000000000001</v>
      </c>
      <c r="V80" s="23">
        <f>STAG!V16</f>
        <v>150.137</v>
      </c>
      <c r="W80" s="23">
        <f>STAG!W16</f>
        <v>162.56200000000001</v>
      </c>
      <c r="X80" s="23">
        <f>STAG!X16</f>
        <v>141.006</v>
      </c>
      <c r="Y80" s="24">
        <f>STAG!Y16</f>
        <v>2.4E-2</v>
      </c>
      <c r="Z80" s="24">
        <f>STAG!Z16</f>
        <v>6.4756802953310599E-2</v>
      </c>
      <c r="AA80" s="24">
        <f>STAG!AA16</f>
        <v>8.2359584581181325E-2</v>
      </c>
      <c r="AB80" s="25">
        <f>STAG!AB16</f>
        <v>15.442392990293175</v>
      </c>
      <c r="AC80" s="25">
        <f>STAG!AC16</f>
        <v>12.141877658626438</v>
      </c>
      <c r="AD80" s="24">
        <f>STAG!AD16</f>
        <v>0.10831572963904598</v>
      </c>
      <c r="AE80" s="24">
        <f>STAG!AE16</f>
        <v>0.95299999999999996</v>
      </c>
      <c r="AF80" s="26">
        <f>STAG!AF16</f>
        <v>5.0156862971853506</v>
      </c>
      <c r="AG80" s="26">
        <f>STAG!AG16</f>
        <v>5.0518498751640415</v>
      </c>
    </row>
    <row r="81" spans="1:33" x14ac:dyDescent="0.25">
      <c r="A81" s="28">
        <f>STAG!A17</f>
        <v>2016</v>
      </c>
      <c r="B81" s="23">
        <f>STAG!B17</f>
        <v>201.12899999999999</v>
      </c>
      <c r="C81">
        <f>STAG!C17</f>
        <v>42.923000000000002</v>
      </c>
      <c r="D81" s="23">
        <f>STAG!D17</f>
        <v>158.20599999999999</v>
      </c>
      <c r="E81">
        <f>STAG!E17</f>
        <v>23.87</v>
      </c>
      <c r="F81">
        <f>STAG!F17</f>
        <v>83.986185000000006</v>
      </c>
      <c r="G81" s="23">
        <f>STAG!G17</f>
        <v>2004.7502359500002</v>
      </c>
      <c r="H81" s="23">
        <f>STAG!H17</f>
        <v>272.16199999999998</v>
      </c>
      <c r="I81" s="23">
        <f>STAG!I17</f>
        <v>9.298</v>
      </c>
      <c r="J81" s="23">
        <f>STAG!J17</f>
        <v>281.45999999999998</v>
      </c>
      <c r="K81" s="23">
        <f>STAG!K17</f>
        <v>1723.2902359500001</v>
      </c>
      <c r="L81" s="23">
        <f>STAG!L17</f>
        <v>872.57400000000007</v>
      </c>
      <c r="M81" s="23">
        <f>STAG!M17</f>
        <v>163.565</v>
      </c>
      <c r="N81" s="23">
        <f>STAG!N17</f>
        <v>145</v>
      </c>
      <c r="O81" s="23">
        <f>STAG!O17</f>
        <v>1181.1390000000001</v>
      </c>
      <c r="P81" s="23">
        <f>STAG!P17</f>
        <v>3185.8892359500005</v>
      </c>
      <c r="Q81" s="23">
        <f>STAG!Q17</f>
        <v>2904.4292359500005</v>
      </c>
      <c r="R81" s="23">
        <f>STAG!R17</f>
        <v>118.34399999999999</v>
      </c>
      <c r="S81" s="23">
        <f>STAG!S17</f>
        <v>0</v>
      </c>
      <c r="T81" s="23">
        <f>STAG!T17</f>
        <v>0</v>
      </c>
      <c r="U81" s="23">
        <f>STAG!U17</f>
        <v>3.823</v>
      </c>
      <c r="V81" s="23">
        <f>STAG!V17</f>
        <v>114.521</v>
      </c>
      <c r="W81" s="23">
        <f>STAG!W17</f>
        <v>135.423</v>
      </c>
      <c r="X81" s="23">
        <f>STAG!X17</f>
        <v>117.441</v>
      </c>
      <c r="Y81" s="24">
        <f>STAG!Y17</f>
        <v>2.4500000000000001E-2</v>
      </c>
      <c r="Z81" s="24">
        <f>STAG!Z17</f>
        <v>6.9249061919118629E-2</v>
      </c>
      <c r="AA81" s="24">
        <f>STAG!AA17</f>
        <v>9.1804616947060921E-2</v>
      </c>
      <c r="AB81" s="25">
        <f>STAG!AB17</f>
        <v>14.440628830004627</v>
      </c>
      <c r="AC81" s="25">
        <f>STAG!AC17</f>
        <v>10.892698354992859</v>
      </c>
      <c r="AD81" s="24">
        <f>STAG!AD17</f>
        <v>6.9423647641338182E-2</v>
      </c>
      <c r="AE81" s="24">
        <f>STAG!AE17</f>
        <v>0.94699999999999995</v>
      </c>
      <c r="AF81" s="26">
        <f>STAG!AF17</f>
        <v>4.6203948626127502</v>
      </c>
      <c r="AG81" s="26">
        <f>STAG!AG17</f>
        <v>4.6182680419501816</v>
      </c>
    </row>
  </sheetData>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319"/>
  <sheetViews>
    <sheetView zoomScaleNormal="100" workbookViewId="0"/>
  </sheetViews>
  <sheetFormatPr defaultColWidth="8.7109375" defaultRowHeight="15" x14ac:dyDescent="0.25"/>
  <cols>
    <col min="1" max="29" width="15" customWidth="1"/>
    <col min="31" max="32" width="15" customWidth="1"/>
  </cols>
  <sheetData>
    <row r="1" spans="1:32" ht="15" customHeight="1" x14ac:dyDescent="0.25">
      <c r="A1" s="32" t="s">
        <v>547</v>
      </c>
    </row>
    <row r="2" spans="1:32" ht="15" customHeight="1" x14ac:dyDescent="0.25">
      <c r="A2" s="33" t="s">
        <v>548</v>
      </c>
    </row>
    <row r="3" spans="1:32" ht="63" customHeight="1" x14ac:dyDescent="0.25">
      <c r="A3" s="6" t="s">
        <v>468</v>
      </c>
      <c r="B3" s="6" t="s">
        <v>549</v>
      </c>
      <c r="C3" s="6" t="s">
        <v>492</v>
      </c>
      <c r="D3" s="6" t="s">
        <v>550</v>
      </c>
      <c r="E3" s="6" t="s">
        <v>551</v>
      </c>
      <c r="F3" s="6" t="s">
        <v>552</v>
      </c>
      <c r="G3" s="6" t="s">
        <v>553</v>
      </c>
      <c r="H3" s="6" t="s">
        <v>554</v>
      </c>
      <c r="I3" s="6" t="s">
        <v>555</v>
      </c>
      <c r="J3" s="6" t="s">
        <v>495</v>
      </c>
      <c r="K3" s="6" t="s">
        <v>496</v>
      </c>
      <c r="L3" s="6" t="s">
        <v>469</v>
      </c>
      <c r="M3" s="6" t="s">
        <v>484</v>
      </c>
      <c r="N3" s="6" t="s">
        <v>471</v>
      </c>
      <c r="O3" s="6" t="s">
        <v>478</v>
      </c>
      <c r="P3" s="6" t="s">
        <v>556</v>
      </c>
      <c r="Q3" s="6" t="s">
        <v>557</v>
      </c>
      <c r="R3" s="6" t="s">
        <v>558</v>
      </c>
      <c r="S3" s="6" t="s">
        <v>559</v>
      </c>
      <c r="T3" s="6" t="s">
        <v>560</v>
      </c>
      <c r="U3" s="6" t="s">
        <v>561</v>
      </c>
      <c r="V3" s="6" t="s">
        <v>562</v>
      </c>
      <c r="W3" s="6" t="s">
        <v>563</v>
      </c>
      <c r="X3" s="6" t="s">
        <v>564</v>
      </c>
      <c r="Y3" s="6" t="s">
        <v>565</v>
      </c>
      <c r="Z3" s="6" t="s">
        <v>566</v>
      </c>
      <c r="AA3" s="6" t="s">
        <v>567</v>
      </c>
      <c r="AB3" s="6" t="s">
        <v>568</v>
      </c>
      <c r="AC3" s="6" t="s">
        <v>569</v>
      </c>
      <c r="AE3" s="34" t="s">
        <v>570</v>
      </c>
      <c r="AF3" s="34" t="s">
        <v>571</v>
      </c>
    </row>
    <row r="4" spans="1:32" ht="15" customHeight="1" x14ac:dyDescent="0.25">
      <c r="A4">
        <v>2016</v>
      </c>
      <c r="B4" s="35">
        <f>INDEX(EGP!$Z$8:$Z$17,MATCH($A4,EGP!$A$8:$A$17,0))</f>
        <v>6.0375817400536352E-2</v>
      </c>
      <c r="C4" s="35">
        <f>INDEX(EGP!$Y$8:$Y$17,MATCH($A4,EGP!$A$8:$A$17,0))</f>
        <v>2.4500000000000001E-2</v>
      </c>
      <c r="D4" s="36">
        <f t="shared" ref="D4:D13" si="0">B4-C4</f>
        <v>3.5875817400536351E-2</v>
      </c>
      <c r="E4" s="35">
        <f>INDEX(EGP!$AA$8:$AA$17,MATCH($A4,EGP!$A$8:$A$17,0))</f>
        <v>7.7207869014869299E-2</v>
      </c>
      <c r="F4" s="36">
        <f t="shared" ref="F4:F13" si="1">E4-B4</f>
        <v>1.6832051614332946E-2</v>
      </c>
      <c r="G4" s="35">
        <f>INDEX('Costar - US Industrial'!$F$2:$F$28,MATCH(TEXT($A4,"0"),'Costar - US Industrial'!$A$2:$A$28,0))</f>
        <v>5.2253933059267697E-2</v>
      </c>
      <c r="H4" s="35">
        <f>INDEX('Costar - US Industrial'!$I$2:$I$28,MATCH(TEXT($A4,"0"),'Costar - US Industrial'!$A$2:$A$28,0))</f>
        <v>5.4470517273195899E-2</v>
      </c>
      <c r="I4" s="35">
        <f>INDEX('Costar - US Industrial'!$C$2:$C$28,MATCH(TEXT($A4,"0"),'Costar - US Industrial'!$A$2:$A$28,0))/INDEX('Costar - US Industrial'!$B$2:$B$28,MATCH(TEXT($A4,"0"),'Costar - US Industrial'!$A$2:$A$28,0))</f>
        <v>1.105087504347458E-2</v>
      </c>
      <c r="J4" s="25">
        <f>INDEX(EGP!$AB$8:$AB$17,MATCH($A4,EGP!$A$8:$A$17,0))</f>
        <v>16.562922757069231</v>
      </c>
      <c r="K4" s="25">
        <f>INDEX(EGP!$AC$8:$AC$17,MATCH($A4,EGP!$A$8:$A$17,0))</f>
        <v>12.952047670262887</v>
      </c>
      <c r="L4" s="5">
        <f>INDEX(EGP!$B$8:$B$17,MATCH($A4,EGP!$A$8:$A$17,0))</f>
        <v>178.697</v>
      </c>
      <c r="M4" s="5">
        <f>INDEX(EGP!$Q$8:$Q$17,MATCH($A4,EGP!$A$8:$A$17,0))</f>
        <v>2959.7446079200004</v>
      </c>
      <c r="N4" s="5">
        <f>INDEX(EGP!$D$8:$D$17,MATCH($A4,EGP!$A$8:$A$17,0))</f>
        <v>143.48400000000001</v>
      </c>
      <c r="O4" s="5">
        <f>INDEX(EGP!$K$8:$K$17,MATCH($A4,EGP!$A$8:$A$17,0))</f>
        <v>1858.4116079200003</v>
      </c>
      <c r="P4" s="24">
        <f>INDEX('Prime Rate'!$B$2:$B$11,MATCH($A4,'Prime Rate'!$A$2:$A$11,0))/100</f>
        <v>3.5099999999999999E-2</v>
      </c>
      <c r="Q4" s="5">
        <f t="shared" ref="Q4:Q13" si="2">M4-L4</f>
        <v>2781.0476079200002</v>
      </c>
      <c r="R4" s="5">
        <f t="shared" ref="R4:R13" si="3">O4-N4</f>
        <v>1714.9276079200004</v>
      </c>
      <c r="S4" s="31">
        <f>INDEX(Inflation!$G$4:$G$19,MATCH($A4,Inflation!$A$4:$A$19,0))</f>
        <v>1.2670779149543066E-2</v>
      </c>
      <c r="T4" s="24">
        <f>INDEX('Green Street National'!$D$4:$D$18,MATCH($A4,'Green Street National'!$A$4:$A$18,0))</f>
        <v>5.8150930000000003E-2</v>
      </c>
      <c r="U4" s="37">
        <f>INDEX('Green Street National'!$F$4:$F$18,MATCH($A4,'Green Street National'!$A$4:$A$18,0))</f>
        <v>100</v>
      </c>
      <c r="V4" s="37">
        <f>INDEX(Inflation!$D$4:$D$19,MATCH($A4,Inflation!$A$4:$A$19,0))</f>
        <v>100</v>
      </c>
      <c r="W4" s="37">
        <f>INDEX(Inflation!$E$4:$E$19,MATCH($A4,Inflation!$A$4:$A$19,0))</f>
        <v>100</v>
      </c>
      <c r="X4" s="37">
        <f>INDEX('Costar - US Industrial'!$H$2:$H$28,MATCH(TEXT($A4,"0"),'Costar - US Industrial'!$A$2:$A$28,0))/'Costar - US Industrial'!$H$18*100</f>
        <v>100</v>
      </c>
      <c r="Y4" s="31">
        <f>INDEX('Green Street National'!$C$4:$C$18,MATCH($A4,'Green Street National'!$A$4:$A$18,0))</f>
        <v>6.7850380000000002E-2</v>
      </c>
      <c r="Z4" s="31">
        <f>INDEX('Costar - US Industrial'!$F$2:$F$28,MATCH(TEXT($A4-1,"0"),'Costar - US Industrial'!$A$2:$A$28,0))-INDEX('Costar - US Industrial'!$F$2:$F$28,MATCH(TEXT($A4,"0"),'Costar - US Industrial'!$A$2:$A$28,0))</f>
        <v>6.7741451500690011E-3</v>
      </c>
      <c r="AA4" s="38">
        <f>INDEX('Costar - US Industrial'!$H$2:$H$28,MATCH(TEXT($A4,"0"),'Costar - US Industrial'!$A$2:$A$28,0))</f>
        <v>7.2084040180553197</v>
      </c>
      <c r="AB4" s="31">
        <f>1-INDEX('Costar - US Industrial'!$F$2:$F$28,MATCH(TEXT($A4,"0"),'Costar - US Industrial'!$A$2:$A$28,0))</f>
        <v>0.94774606694073227</v>
      </c>
      <c r="AC4">
        <v>100</v>
      </c>
      <c r="AE4" s="39" t="str">
        <f>""</f>
        <v/>
      </c>
      <c r="AF4" s="39" t="str">
        <f>""</f>
        <v/>
      </c>
    </row>
    <row r="5" spans="1:32" ht="15" customHeight="1" x14ac:dyDescent="0.25">
      <c r="A5">
        <v>2017</v>
      </c>
      <c r="B5" s="35">
        <f>INDEX(EGP!$Z$8:$Z$17,MATCH($A5,EGP!$A$8:$A$17,0))</f>
        <v>5.4049370482855935E-2</v>
      </c>
      <c r="C5" s="35">
        <f>INDEX(EGP!$Y$8:$Y$17,MATCH($A5,EGP!$A$8:$A$17,0))</f>
        <v>2.4E-2</v>
      </c>
      <c r="D5" s="36">
        <f t="shared" si="0"/>
        <v>3.0049370482855935E-2</v>
      </c>
      <c r="E5" s="35">
        <f>INDEX(EGP!$AA$8:$AA$17,MATCH($A5,EGP!$A$8:$A$17,0))</f>
        <v>6.4162897427691351E-2</v>
      </c>
      <c r="F5" s="36">
        <f t="shared" si="1"/>
        <v>1.0113526944835416E-2</v>
      </c>
      <c r="G5" s="35">
        <f>INDEX('Costar - US Industrial'!$F$2:$F$28,MATCH(TEXT($A5,"0"),'Costar - US Industrial'!$A$2:$A$28,0))</f>
        <v>4.9649774370652398E-2</v>
      </c>
      <c r="H5" s="35">
        <f>INDEX('Costar - US Industrial'!$I$2:$I$28,MATCH(TEXT($A5,"0"),'Costar - US Industrial'!$A$2:$A$28,0))</f>
        <v>5.72098544479408E-2</v>
      </c>
      <c r="I5" s="35">
        <f>INDEX('Costar - US Industrial'!$C$2:$C$28,MATCH(TEXT($A5,"0"),'Costar - US Industrial'!$A$2:$A$28,0))/INDEX('Costar - US Industrial'!$B$2:$B$28,MATCH(TEXT($A5,"0"),'Costar - US Industrial'!$A$2:$A$28,0))</f>
        <v>1.3345345205154608E-2</v>
      </c>
      <c r="J5" s="25">
        <f>INDEX(EGP!$AB$8:$AB$17,MATCH($A5,EGP!$A$8:$A$17,0))</f>
        <v>18.501603091144101</v>
      </c>
      <c r="K5" s="25">
        <f>INDEX(EGP!$AC$8:$AC$17,MATCH($A5,EGP!$A$8:$A$17,0))</f>
        <v>15.585331088374776</v>
      </c>
      <c r="L5" s="5">
        <f>INDEX(EGP!$B$8:$B$17,MATCH($A5,EGP!$A$8:$A$17,0))</f>
        <v>194.18700000000001</v>
      </c>
      <c r="M5" s="5">
        <f>INDEX(EGP!$Q$8:$Q$17,MATCH($A5,EGP!$A$8:$A$17,0))</f>
        <v>3592.7707994599996</v>
      </c>
      <c r="N5" s="5">
        <f>INDEX(EGP!$D$8:$D$17,MATCH($A5,EGP!$A$8:$A$17,0))</f>
        <v>159.41200000000001</v>
      </c>
      <c r="O5" s="5">
        <f>INDEX(EGP!$K$8:$K$17,MATCH($A5,EGP!$A$8:$A$17,0))</f>
        <v>2484.4887994599999</v>
      </c>
      <c r="P5" s="24">
        <f>INDEX('Prime Rate'!$B$2:$B$11,MATCH($A5,'Prime Rate'!$A$2:$A$11,0))/100</f>
        <v>4.0999999999999995E-2</v>
      </c>
      <c r="Q5" s="5">
        <f t="shared" si="2"/>
        <v>3398.5837994599997</v>
      </c>
      <c r="R5" s="5">
        <f t="shared" si="3"/>
        <v>2325.0767994600001</v>
      </c>
      <c r="S5" s="31">
        <f>INDEX(Inflation!$G$4:$G$19,MATCH($A5,Inflation!$A$4:$A$19,0))</f>
        <v>2.1316222578696253E-2</v>
      </c>
      <c r="T5" s="24">
        <f>INDEX('Green Street National'!$D$4:$D$18,MATCH($A5,'Green Street National'!$A$4:$A$18,0))</f>
        <v>5.5684129999999998E-2</v>
      </c>
      <c r="U5" s="37">
        <f>INDEX('Green Street National'!$F$4:$F$18,MATCH($A5,'Green Street National'!$A$4:$A$18,0))</f>
        <v>109.44425857524243</v>
      </c>
      <c r="V5" s="37">
        <f>INDEX(Inflation!$D$4:$D$19,MATCH($A5,Inflation!$A$4:$A$19,0))</f>
        <v>102.1961670162606</v>
      </c>
      <c r="W5" s="37">
        <f>INDEX(Inflation!$E$4:$E$19,MATCH($A5,Inflation!$A$4:$A$19,0))</f>
        <v>102.13162225786962</v>
      </c>
      <c r="X5" s="37">
        <f>INDEX('Costar - US Industrial'!$H$2:$H$28,MATCH(TEXT($A5,"0"),'Costar - US Industrial'!$A$2:$A$28,0))/'Costar - US Industrial'!$H$18*100</f>
        <v>105.72098544479414</v>
      </c>
      <c r="Y5" s="31">
        <f>INDEX('Green Street National'!$C$4:$C$18,MATCH($A5,'Green Street National'!$A$4:$A$18,0))</f>
        <v>5.6166010000000002E-2</v>
      </c>
      <c r="Z5" s="31">
        <f>INDEX('Costar - US Industrial'!$F$2:$F$28,MATCH(TEXT($A5-1,"0"),'Costar - US Industrial'!$A$2:$A$28,0))-INDEX('Costar - US Industrial'!$F$2:$F$28,MATCH(TEXT($A5,"0"),'Costar - US Industrial'!$A$2:$A$28,0))</f>
        <v>2.604158688615299E-3</v>
      </c>
      <c r="AA5" s="38">
        <f>INDEX('Costar - US Industrial'!$H$2:$H$28,MATCH(TEXT($A5,"0"),'Costar - US Industrial'!$A$2:$A$28,0))</f>
        <v>7.6207957627302196</v>
      </c>
      <c r="AB5" s="31">
        <f>1-INDEX('Costar - US Industrial'!$F$2:$F$28,MATCH(TEXT($A5,"0"),'Costar - US Industrial'!$A$2:$A$28,0))</f>
        <v>0.95035022562934757</v>
      </c>
      <c r="AC5">
        <f t="shared" ref="AC5:AC13" si="4">AC4*(1+Y5)</f>
        <v>105.616601</v>
      </c>
      <c r="AE5" s="39" t="str">
        <f t="shared" ref="AE5:AE13" si="5">IF(N(L4)=0,"",TEXT(L5/L4-1,"+0%;-0%"))</f>
        <v>+9%</v>
      </c>
      <c r="AF5" s="39" t="str">
        <f t="shared" ref="AF5:AF13" si="6">IF(N(N4)=0,"",TEXT(N5/N4-1,"+0%;-0%"))</f>
        <v>+11%</v>
      </c>
    </row>
    <row r="6" spans="1:32" ht="15" customHeight="1" x14ac:dyDescent="0.25">
      <c r="A6">
        <v>2018</v>
      </c>
      <c r="B6" s="35">
        <f>INDEX(EGP!$Z$8:$Z$17,MATCH($A6,EGP!$A$8:$A$17,0))</f>
        <v>5.5956776321807108E-2</v>
      </c>
      <c r="C6" s="35">
        <f>INDEX(EGP!$Y$8:$Y$17,MATCH($A6,EGP!$A$8:$A$17,0))</f>
        <v>2.69E-2</v>
      </c>
      <c r="D6" s="36">
        <f t="shared" si="0"/>
        <v>2.9056776321807108E-2</v>
      </c>
      <c r="E6" s="35">
        <f>INDEX(EGP!$AA$8:$AA$17,MATCH($A6,EGP!$A$8:$A$17,0))</f>
        <v>6.5857314095707539E-2</v>
      </c>
      <c r="F6" s="36">
        <f t="shared" si="1"/>
        <v>9.9005377739004308E-3</v>
      </c>
      <c r="G6" s="35">
        <f>INDEX('Costar - US Industrial'!$F$2:$F$28,MATCH(TEXT($A6,"0"),'Costar - US Industrial'!$A$2:$A$28,0))</f>
        <v>4.6766791152018601E-2</v>
      </c>
      <c r="H6" s="35">
        <f>INDEX('Costar - US Industrial'!$I$2:$I$28,MATCH(TEXT($A6,"0"),'Costar - US Industrial'!$A$2:$A$28,0))</f>
        <v>5.7435897247827598E-2</v>
      </c>
      <c r="I6" s="35">
        <f>INDEX('Costar - US Industrial'!$C$2:$C$28,MATCH(TEXT($A6,"0"),'Costar - US Industrial'!$A$2:$A$28,0))/INDEX('Costar - US Industrial'!$B$2:$B$28,MATCH(TEXT($A6,"0"),'Costar - US Industrial'!$A$2:$A$28,0))</f>
        <v>1.3501732485549263E-2</v>
      </c>
      <c r="J6" s="25">
        <f>INDEX(EGP!$AB$8:$AB$17,MATCH($A6,EGP!$A$8:$A$17,0))</f>
        <v>17.870936564483372</v>
      </c>
      <c r="K6" s="25">
        <f>INDEX(EGP!$AC$8:$AC$17,MATCH($A6,EGP!$A$8:$A$17,0))</f>
        <v>15.184342297147801</v>
      </c>
      <c r="L6" s="5">
        <f>INDEX(EGP!$B$8:$B$17,MATCH($A6,EGP!$A$8:$A$17,0))</f>
        <v>213.179</v>
      </c>
      <c r="M6" s="5">
        <f>INDEX(EGP!$Q$8:$Q$17,MATCH($A6,EGP!$A$8:$A$17,0))</f>
        <v>3809.7083858800006</v>
      </c>
      <c r="N6" s="5">
        <f>INDEX(EGP!$D$8:$D$17,MATCH($A6,EGP!$A$8:$A$17,0))</f>
        <v>178.07300000000001</v>
      </c>
      <c r="O6" s="5">
        <f>INDEX(EGP!$K$8:$K$17,MATCH($A6,EGP!$A$8:$A$17,0))</f>
        <v>2703.9213858800003</v>
      </c>
      <c r="P6" s="24">
        <f>INDEX('Prime Rate'!$B$2:$B$11,MATCH($A6,'Prime Rate'!$A$2:$A$11,0))/100</f>
        <v>4.9000000000000002E-2</v>
      </c>
      <c r="Q6" s="5">
        <f t="shared" si="2"/>
        <v>3596.5293858800005</v>
      </c>
      <c r="R6" s="5">
        <f t="shared" si="3"/>
        <v>2525.8483858800005</v>
      </c>
      <c r="S6" s="31">
        <f>INDEX(Inflation!$G$4:$G$19,MATCH($A6,Inflation!$A$4:$A$19,0))</f>
        <v>2.4392034954165531E-2</v>
      </c>
      <c r="T6" s="24">
        <f>INDEX('Green Street National'!$D$4:$D$18,MATCH($A6,'Green Street National'!$A$4:$A$18,0))</f>
        <v>5.391642E-2</v>
      </c>
      <c r="U6" s="37">
        <f>INDEX('Green Street National'!$F$4:$F$18,MATCH($A6,'Green Street National'!$A$4:$A$18,0))</f>
        <v>121.46241901260227</v>
      </c>
      <c r="V6" s="37">
        <f>INDEX(Inflation!$D$4:$D$19,MATCH($A6,Inflation!$A$4:$A$19,0))</f>
        <v>106.49169042112622</v>
      </c>
      <c r="W6" s="37">
        <f>INDEX(Inflation!$E$4:$E$19,MATCH($A6,Inflation!$A$4:$A$19,0))</f>
        <v>104.62282035790922</v>
      </c>
      <c r="X6" s="37">
        <f>INDEX('Costar - US Industrial'!$H$2:$H$28,MATCH(TEXT($A6,"0"),'Costar - US Industrial'!$A$2:$A$28,0))/'Costar - US Industrial'!$H$18*100</f>
        <v>111.79316510174037</v>
      </c>
      <c r="Y6" s="31">
        <f>INDEX('Green Street National'!$C$4:$C$18,MATCH($A6,'Green Street National'!$A$4:$A$18,0))</f>
        <v>5.4186060000000001E-2</v>
      </c>
      <c r="Z6" s="31">
        <f>INDEX('Costar - US Industrial'!$F$2:$F$28,MATCH(TEXT($A6-1,"0"),'Costar - US Industrial'!$A$2:$A$28,0))-INDEX('Costar - US Industrial'!$F$2:$F$28,MATCH(TEXT($A6,"0"),'Costar - US Industrial'!$A$2:$A$28,0))</f>
        <v>2.8829832186337973E-3</v>
      </c>
      <c r="AA6" s="38">
        <f>INDEX('Costar - US Industrial'!$H$2:$H$28,MATCH(TEXT($A6,"0"),'Costar - US Industrial'!$A$2:$A$28,0))</f>
        <v>8.0585030051050701</v>
      </c>
      <c r="AB6" s="31">
        <f>1-INDEX('Costar - US Industrial'!$F$2:$F$28,MATCH(TEXT($A6,"0"),'Costar - US Industrial'!$A$2:$A$28,0))</f>
        <v>0.95323320884798135</v>
      </c>
      <c r="AC6">
        <f t="shared" si="4"/>
        <v>111.33954847878205</v>
      </c>
      <c r="AE6" s="39" t="str">
        <f t="shared" si="5"/>
        <v>+10%</v>
      </c>
      <c r="AF6" s="39" t="str">
        <f t="shared" si="6"/>
        <v>+12%</v>
      </c>
    </row>
    <row r="7" spans="1:32" ht="15" customHeight="1" x14ac:dyDescent="0.25">
      <c r="A7">
        <v>2019</v>
      </c>
      <c r="B7" s="35">
        <f>INDEX(EGP!$Z$8:$Z$17,MATCH($A7,EGP!$A$8:$A$17,0))</f>
        <v>4.3534308773900882E-2</v>
      </c>
      <c r="C7" s="35">
        <f>INDEX(EGP!$Y$8:$Y$17,MATCH($A7,EGP!$A$8:$A$17,0))</f>
        <v>1.9199999999999998E-2</v>
      </c>
      <c r="D7" s="36">
        <f t="shared" si="0"/>
        <v>2.4334308773900883E-2</v>
      </c>
      <c r="E7" s="35">
        <f>INDEX(EGP!$AA$8:$AA$17,MATCH($A7,EGP!$A$8:$A$17,0))</f>
        <v>4.750036437049783E-2</v>
      </c>
      <c r="F7" s="36">
        <f t="shared" si="1"/>
        <v>3.9660555965969485E-3</v>
      </c>
      <c r="G7" s="35">
        <f>INDEX('Costar - US Industrial'!$F$2:$F$28,MATCH(TEXT($A7,"0"),'Costar - US Industrial'!$A$2:$A$28,0))</f>
        <v>5.0732433845904E-2</v>
      </c>
      <c r="H7" s="35">
        <f>INDEX('Costar - US Industrial'!$I$2:$I$28,MATCH(TEXT($A7,"0"),'Costar - US Industrial'!$A$2:$A$28,0))</f>
        <v>5.6740707446471E-2</v>
      </c>
      <c r="I7" s="35">
        <f>INDEX('Costar - US Industrial'!$C$2:$C$28,MATCH(TEXT($A7,"0"),'Costar - US Industrial'!$A$2:$A$28,0))/INDEX('Costar - US Industrial'!$B$2:$B$28,MATCH(TEXT($A7,"0"),'Costar - US Industrial'!$A$2:$A$28,0))</f>
        <v>1.520156978501716E-2</v>
      </c>
      <c r="J7" s="25">
        <f>INDEX(EGP!$AB$8:$AB$17,MATCH($A7,EGP!$A$8:$A$17,0))</f>
        <v>22.970388830418432</v>
      </c>
      <c r="K7" s="25">
        <f>INDEX(EGP!$AC$8:$AC$17,MATCH($A7,EGP!$A$8:$A$17,0))</f>
        <v>21.052470086336719</v>
      </c>
      <c r="L7" s="5">
        <f>INDEX(EGP!$B$8:$B$17,MATCH($A7,EGP!$A$8:$A$17,0))</f>
        <v>238.316</v>
      </c>
      <c r="M7" s="5">
        <f>INDEX(EGP!$Q$8:$Q$17,MATCH($A7,EGP!$A$8:$A$17,0))</f>
        <v>5474.2111845099989</v>
      </c>
      <c r="N7" s="5">
        <f>INDEX(EGP!$D$8:$D$17,MATCH($A7,EGP!$A$8:$A$17,0))</f>
        <v>203.85300000000001</v>
      </c>
      <c r="O7" s="5">
        <f>INDEX(EGP!$K$8:$K$17,MATCH($A7,EGP!$A$8:$A$17,0))</f>
        <v>4291.6091845099991</v>
      </c>
      <c r="P7" s="24">
        <f>INDEX('Prime Rate'!$B$2:$B$11,MATCH($A7,'Prime Rate'!$A$2:$A$11,0))/100</f>
        <v>5.28E-2</v>
      </c>
      <c r="Q7" s="5">
        <f t="shared" si="2"/>
        <v>5235.8951845099991</v>
      </c>
      <c r="R7" s="5">
        <f t="shared" si="3"/>
        <v>4087.756184509999</v>
      </c>
      <c r="S7" s="31">
        <f>INDEX(Inflation!$G$4:$G$19,MATCH($A7,Inflation!$A$4:$A$19,0))</f>
        <v>1.8132218239745201E-2</v>
      </c>
      <c r="T7" s="24">
        <f>INDEX('Green Street National'!$D$4:$D$18,MATCH($A7,'Green Street National'!$A$4:$A$18,0))</f>
        <v>5.0796620000000001E-2</v>
      </c>
      <c r="U7" s="37">
        <f>INDEX('Green Street National'!$F$4:$F$18,MATCH($A7,'Green Street National'!$A$4:$A$18,0))</f>
        <v>137.28576583568642</v>
      </c>
      <c r="V7" s="37">
        <f>INDEX(Inflation!$D$4:$D$19,MATCH($A7,Inflation!$A$4:$A$19,0))</f>
        <v>111.95252693666073</v>
      </c>
      <c r="W7" s="37">
        <f>INDEX(Inflation!$E$4:$E$19,MATCH($A7,Inflation!$A$4:$A$19,0))</f>
        <v>106.51986416949646</v>
      </c>
      <c r="X7" s="37">
        <f>INDEX('Costar - US Industrial'!$H$2:$H$28,MATCH(TEXT($A7,"0"),'Costar - US Industrial'!$A$2:$A$28,0))/'Costar - US Industrial'!$H$18*100</f>
        <v>118.13638837729331</v>
      </c>
      <c r="Y7" s="31">
        <f>INDEX('Green Street National'!$C$4:$C$18,MATCH($A7,'Green Street National'!$A$4:$A$18,0))</f>
        <v>5.6557040000000003E-2</v>
      </c>
      <c r="Z7" s="31">
        <f>INDEX('Costar - US Industrial'!$F$2:$F$28,MATCH(TEXT($A7-1,"0"),'Costar - US Industrial'!$A$2:$A$28,0))-INDEX('Costar - US Industrial'!$F$2:$F$28,MATCH(TEXT($A7,"0"),'Costar - US Industrial'!$A$2:$A$28,0))</f>
        <v>-3.9656426938853989E-3</v>
      </c>
      <c r="AA7" s="38">
        <f>INDEX('Costar - US Industrial'!$H$2:$H$28,MATCH(TEXT($A7,"0"),'Costar - US Industrial'!$A$2:$A$28,0))</f>
        <v>8.5157481665742498</v>
      </c>
      <c r="AB7" s="31">
        <f>1-INDEX('Costar - US Industrial'!$F$2:$F$28,MATCH(TEXT($A7,"0"),'Costar - US Industrial'!$A$2:$A$28,0))</f>
        <v>0.94926756615409602</v>
      </c>
      <c r="AC7">
        <f t="shared" si="4"/>
        <v>117.63658377567846</v>
      </c>
      <c r="AE7" s="39" t="str">
        <f t="shared" si="5"/>
        <v>+12%</v>
      </c>
      <c r="AF7" s="39" t="str">
        <f t="shared" si="6"/>
        <v>+14%</v>
      </c>
    </row>
    <row r="8" spans="1:32" ht="15" customHeight="1" x14ac:dyDescent="0.25">
      <c r="A8">
        <v>2020</v>
      </c>
      <c r="B8" s="35">
        <f>INDEX(EGP!$Z$8:$Z$17,MATCH($A8,EGP!$A$8:$A$17,0))</f>
        <v>4.3890077645450741E-2</v>
      </c>
      <c r="C8" s="35">
        <f>INDEX(EGP!$Y$8:$Y$17,MATCH($A8,EGP!$A$8:$A$17,0))</f>
        <v>9.300000000000001E-3</v>
      </c>
      <c r="D8" s="36">
        <f t="shared" si="0"/>
        <v>3.4590077645450738E-2</v>
      </c>
      <c r="E8" s="35">
        <f>INDEX(EGP!$AA$8:$AA$17,MATCH($A8,EGP!$A$8:$A$17,0))</f>
        <v>4.9005126728610918E-2</v>
      </c>
      <c r="F8" s="36">
        <f t="shared" si="1"/>
        <v>5.1150490831601766E-3</v>
      </c>
      <c r="G8" s="35">
        <f>INDEX('Costar - US Industrial'!$F$2:$F$28,MATCH(TEXT($A8,"0"),'Costar - US Industrial'!$A$2:$A$28,0))</f>
        <v>5.45368241986533E-2</v>
      </c>
      <c r="H8" s="35">
        <f>INDEX('Costar - US Industrial'!$I$2:$I$28,MATCH(TEXT($A8,"0"),'Costar - US Industrial'!$A$2:$A$28,0))</f>
        <v>5.83307173327988E-2</v>
      </c>
      <c r="I8" s="35">
        <f>INDEX('Costar - US Industrial'!$C$2:$C$28,MATCH(TEXT($A8,"0"),'Costar - US Industrial'!$A$2:$A$28,0))/INDEX('Costar - US Industrial'!$B$2:$B$28,MATCH(TEXT($A8,"0"),'Costar - US Industrial'!$A$2:$A$28,0))</f>
        <v>1.6861498232482647E-2</v>
      </c>
      <c r="J8" s="25">
        <f>INDEX(EGP!$AB$8:$AB$17,MATCH($A8,EGP!$A$8:$A$17,0))</f>
        <v>22.784193003214046</v>
      </c>
      <c r="K8" s="25">
        <f>INDEX(EGP!$AC$8:$AC$17,MATCH($A8,EGP!$A$8:$A$17,0))</f>
        <v>20.406028241452642</v>
      </c>
      <c r="L8" s="5">
        <f>INDEX(EGP!$B$8:$B$17,MATCH($A8,EGP!$A$8:$A$17,0))</f>
        <v>260.108</v>
      </c>
      <c r="M8" s="5">
        <f>INDEX(EGP!$Q$8:$Q$17,MATCH($A8,EGP!$A$8:$A$17,0))</f>
        <v>5926.3508736799995</v>
      </c>
      <c r="N8" s="5">
        <f>INDEX(EGP!$D$8:$D$17,MATCH($A8,EGP!$A$8:$A$17,0))</f>
        <v>226.18100000000001</v>
      </c>
      <c r="O8" s="5">
        <f>INDEX(EGP!$K$8:$K$17,MATCH($A8,EGP!$A$8:$A$17,0))</f>
        <v>4615.45587368</v>
      </c>
      <c r="P8" s="24">
        <f>INDEX('Prime Rate'!$B$2:$B$11,MATCH($A8,'Prime Rate'!$A$2:$A$11,0))/100</f>
        <v>3.5400000000000001E-2</v>
      </c>
      <c r="Q8" s="5">
        <f t="shared" si="2"/>
        <v>5666.2428736799993</v>
      </c>
      <c r="R8" s="5">
        <f t="shared" si="3"/>
        <v>4389.2748736800004</v>
      </c>
      <c r="S8" s="31">
        <f>INDEX(Inflation!$G$4:$G$19,MATCH($A8,Inflation!$A$4:$A$19,0))</f>
        <v>1.2528701012700871E-2</v>
      </c>
      <c r="T8" s="24">
        <f>INDEX('Green Street National'!$D$4:$D$18,MATCH($A8,'Green Street National'!$A$4:$A$18,0))</f>
        <v>4.8337989999999997E-2</v>
      </c>
      <c r="U8" s="37">
        <f>INDEX('Green Street National'!$F$4:$F$18,MATCH($A8,'Green Street National'!$A$4:$A$18,0))</f>
        <v>147.54207586613023</v>
      </c>
      <c r="V8" s="37">
        <f>INDEX(Inflation!$D$4:$D$19,MATCH($A8,Inflation!$A$4:$A$19,0))</f>
        <v>114.71611179834704</v>
      </c>
      <c r="W8" s="37">
        <f>INDEX(Inflation!$E$4:$E$19,MATCH($A8,Inflation!$A$4:$A$19,0))</f>
        <v>107.8544196995896</v>
      </c>
      <c r="X8" s="37">
        <f>INDEX('Costar - US Industrial'!$H$2:$H$28,MATCH(TEXT($A8,"0"),'Costar - US Industrial'!$A$2:$A$28,0))/'Costar - US Industrial'!$H$18*100</f>
        <v>125.02736865444692</v>
      </c>
      <c r="Y8" s="31">
        <f>INDEX('Green Street National'!$C$4:$C$18,MATCH($A8,'Green Street National'!$A$4:$A$18,0))</f>
        <v>3.1253759999999998E-2</v>
      </c>
      <c r="Z8" s="31">
        <f>INDEX('Costar - US Industrial'!$F$2:$F$28,MATCH(TEXT($A8-1,"0"),'Costar - US Industrial'!$A$2:$A$28,0))-INDEX('Costar - US Industrial'!$F$2:$F$28,MATCH(TEXT($A8,"0"),'Costar - US Industrial'!$A$2:$A$28,0))</f>
        <v>-3.8043903527492998E-3</v>
      </c>
      <c r="AA8" s="38">
        <f>INDEX('Costar - US Industrial'!$H$2:$H$28,MATCH(TEXT($A8,"0"),'Costar - US Industrial'!$A$2:$A$28,0))</f>
        <v>9.0124778657559901</v>
      </c>
      <c r="AB8" s="31">
        <f>1-INDEX('Costar - US Industrial'!$F$2:$F$28,MATCH(TEXT($A8,"0"),'Costar - US Industrial'!$A$2:$A$28,0))</f>
        <v>0.94546317580134676</v>
      </c>
      <c r="AC8">
        <f t="shared" si="4"/>
        <v>121.31316933222341</v>
      </c>
      <c r="AE8" s="39" t="str">
        <f t="shared" si="5"/>
        <v>+9%</v>
      </c>
      <c r="AF8" s="39" t="str">
        <f t="shared" si="6"/>
        <v>+11%</v>
      </c>
    </row>
    <row r="9" spans="1:32" ht="15" customHeight="1" x14ac:dyDescent="0.25">
      <c r="A9">
        <v>2021</v>
      </c>
      <c r="B9" s="35">
        <f>INDEX(EGP!$Z$8:$Z$17,MATCH($A9,EGP!$A$8:$A$17,0))</f>
        <v>3.0108103050230487E-2</v>
      </c>
      <c r="C9" s="35">
        <f>INDEX(EGP!$Y$8:$Y$17,MATCH($A9,EGP!$A$8:$A$17,0))</f>
        <v>1.52E-2</v>
      </c>
      <c r="D9" s="36">
        <f t="shared" si="0"/>
        <v>1.4908103050230487E-2</v>
      </c>
      <c r="E9" s="35">
        <f>INDEX(EGP!$AA$8:$AA$17,MATCH($A9,EGP!$A$8:$A$17,0))</f>
        <v>3.1396742942416303E-2</v>
      </c>
      <c r="F9" s="36">
        <f t="shared" si="1"/>
        <v>1.288639892185816E-3</v>
      </c>
      <c r="G9" s="35">
        <f>INDEX('Costar - US Industrial'!$F$2:$F$28,MATCH(TEXT($A9,"0"),'Costar - US Industrial'!$A$2:$A$28,0))</f>
        <v>4.13794988938916E-2</v>
      </c>
      <c r="H9" s="35">
        <f>INDEX('Costar - US Industrial'!$I$2:$I$28,MATCH(TEXT($A9,"0"),'Costar - US Industrial'!$A$2:$A$28,0))</f>
        <v>8.2679531974610906E-2</v>
      </c>
      <c r="I9" s="35">
        <f>INDEX('Costar - US Industrial'!$C$2:$C$28,MATCH(TEXT($A9,"0"),'Costar - US Industrial'!$A$2:$A$28,0))/INDEX('Costar - US Industrial'!$B$2:$B$28,MATCH(TEXT($A9,"0"),'Costar - US Industrial'!$A$2:$A$28,0))</f>
        <v>1.6772812695764656E-2</v>
      </c>
      <c r="J9" s="25">
        <f>INDEX(EGP!$AB$8:$AB$17,MATCH($A9,EGP!$A$8:$A$17,0))</f>
        <v>33.213650103816313</v>
      </c>
      <c r="K9" s="25">
        <f>INDEX(EGP!$AC$8:$AC$17,MATCH($A9,EGP!$A$8:$A$17,0))</f>
        <v>31.85043753850729</v>
      </c>
      <c r="L9" s="5">
        <f>INDEX(EGP!$B$8:$B$17,MATCH($A9,EGP!$A$8:$A$17,0))</f>
        <v>295.233</v>
      </c>
      <c r="M9" s="5">
        <f>INDEX(EGP!$Q$8:$Q$17,MATCH($A9,EGP!$A$8:$A$17,0))</f>
        <v>9805.7655611000009</v>
      </c>
      <c r="N9" s="5">
        <f>INDEX(EGP!$D$8:$D$17,MATCH($A9,EGP!$A$8:$A$17,0))</f>
        <v>262.28800000000001</v>
      </c>
      <c r="O9" s="5">
        <f>INDEX(EGP!$K$8:$K$17,MATCH($A9,EGP!$A$8:$A$17,0))</f>
        <v>8353.9875611000007</v>
      </c>
      <c r="P9" s="24">
        <f>INDEX('Prime Rate'!$B$2:$B$11,MATCH($A9,'Prime Rate'!$A$2:$A$11,0))/100</f>
        <v>3.2500000000000001E-2</v>
      </c>
      <c r="Q9" s="5">
        <f t="shared" si="2"/>
        <v>9510.5325611000007</v>
      </c>
      <c r="R9" s="5">
        <f t="shared" si="3"/>
        <v>8091.6995611000002</v>
      </c>
      <c r="S9" s="31">
        <f>INDEX(Inflation!$G$4:$G$19,MATCH($A9,Inflation!$A$4:$A$19,0))</f>
        <v>4.6809809314831474E-2</v>
      </c>
      <c r="T9" s="24">
        <f>INDEX('Green Street National'!$D$4:$D$18,MATCH($A9,'Green Street National'!$A$4:$A$18,0))</f>
        <v>3.7766719999999997E-2</v>
      </c>
      <c r="U9" s="37">
        <f>INDEX('Green Street National'!$F$4:$F$18,MATCH($A9,'Green Street National'!$A$4:$A$18,0))</f>
        <v>208.42060661993727</v>
      </c>
      <c r="V9" s="37">
        <f>INDEX(Inflation!$D$4:$D$19,MATCH($A9,Inflation!$A$4:$A$19,0))</f>
        <v>120.67175818856559</v>
      </c>
      <c r="W9" s="37">
        <f>INDEX(Inflation!$E$4:$E$19,MATCH($A9,Inflation!$A$4:$A$19,0))</f>
        <v>112.90306451948919</v>
      </c>
      <c r="X9" s="37">
        <f>INDEX('Costar - US Industrial'!$H$2:$H$28,MATCH(TEXT($A9,"0"),'Costar - US Industrial'!$A$2:$A$28,0))/'Costar - US Industrial'!$H$18*100</f>
        <v>135.36457297881367</v>
      </c>
      <c r="Y9" s="31">
        <f>INDEX('Green Street National'!$C$4:$C$18,MATCH($A9,'Green Street National'!$A$4:$A$18,0))</f>
        <v>0.18159117</v>
      </c>
      <c r="Z9" s="31">
        <f>INDEX('Costar - US Industrial'!$F$2:$F$28,MATCH(TEXT($A9-1,"0"),'Costar - US Industrial'!$A$2:$A$28,0))-INDEX('Costar - US Industrial'!$F$2:$F$28,MATCH(TEXT($A9,"0"),'Costar - US Industrial'!$A$2:$A$28,0))</f>
        <v>1.3157325304761699E-2</v>
      </c>
      <c r="AA9" s="38">
        <f>INDEX('Costar - US Industrial'!$H$2:$H$28,MATCH(TEXT($A9,"0"),'Costar - US Industrial'!$A$2:$A$28,0))</f>
        <v>9.7576253176282304</v>
      </c>
      <c r="AB9" s="31">
        <f>1-INDEX('Costar - US Industrial'!$F$2:$F$28,MATCH(TEXT($A9,"0"),'Costar - US Industrial'!$A$2:$A$28,0))</f>
        <v>0.95862050110610841</v>
      </c>
      <c r="AC9">
        <f t="shared" si="4"/>
        <v>143.34256968766996</v>
      </c>
      <c r="AE9" s="39" t="str">
        <f t="shared" si="5"/>
        <v>+14%</v>
      </c>
      <c r="AF9" s="39" t="str">
        <f t="shared" si="6"/>
        <v>+16%</v>
      </c>
    </row>
    <row r="10" spans="1:32" ht="15" customHeight="1" x14ac:dyDescent="0.25">
      <c r="A10">
        <v>2022</v>
      </c>
      <c r="B10" s="35">
        <f>INDEX(EGP!$Z$8:$Z$17,MATCH($A10,EGP!$A$8:$A$17,0))</f>
        <v>5.0255340753243123E-2</v>
      </c>
      <c r="C10" s="35">
        <f>INDEX(EGP!$Y$8:$Y$17,MATCH($A10,EGP!$A$8:$A$17,0))</f>
        <v>3.8800000000000001E-2</v>
      </c>
      <c r="D10" s="36">
        <f t="shared" si="0"/>
        <v>1.1455340753243122E-2</v>
      </c>
      <c r="E10" s="35">
        <f>INDEX(EGP!$AA$8:$AA$17,MATCH($A10,EGP!$A$8:$A$17,0))</f>
        <v>6.0879426859857456E-2</v>
      </c>
      <c r="F10" s="36">
        <f t="shared" si="1"/>
        <v>1.0624086106614333E-2</v>
      </c>
      <c r="G10" s="35">
        <f>INDEX('Costar - US Industrial'!$F$2:$F$28,MATCH(TEXT($A10,"0"),'Costar - US Industrial'!$A$2:$A$28,0))</f>
        <v>3.9003142385786102E-2</v>
      </c>
      <c r="H10" s="35">
        <f>INDEX('Costar - US Industrial'!$I$2:$I$28,MATCH(TEXT($A10,"0"),'Costar - US Industrial'!$A$2:$A$28,0))</f>
        <v>0.100277448941721</v>
      </c>
      <c r="I10" s="35">
        <f>INDEX('Costar - US Industrial'!$C$2:$C$28,MATCH(TEXT($A10,"0"),'Costar - US Industrial'!$A$2:$A$28,0))/INDEX('Costar - US Industrial'!$B$2:$B$28,MATCH(TEXT($A10,"0"),'Costar - US Industrial'!$A$2:$A$28,0))</f>
        <v>2.1881852269300183E-2</v>
      </c>
      <c r="J10" s="25">
        <f>INDEX(EGP!$AB$8:$AB$17,MATCH($A10,EGP!$A$8:$A$17,0))</f>
        <v>19.898382639768833</v>
      </c>
      <c r="K10" s="25">
        <f>INDEX(EGP!$AC$8:$AC$17,MATCH($A10,EGP!$A$8:$A$17,0))</f>
        <v>16.425910222544783</v>
      </c>
      <c r="L10" s="5">
        <f>INDEX(EGP!$B$8:$B$17,MATCH($A10,EGP!$A$8:$A$17,0))</f>
        <v>354.03100000000001</v>
      </c>
      <c r="M10" s="5">
        <f>INDEX(EGP!$Q$8:$Q$17,MATCH($A10,EGP!$A$8:$A$17,0))</f>
        <v>7044.6443043399995</v>
      </c>
      <c r="N10" s="5">
        <f>INDEX(EGP!$D$8:$D$17,MATCH($A10,EGP!$A$8:$A$17,0))</f>
        <v>315.53199999999998</v>
      </c>
      <c r="O10" s="5">
        <f>INDEX(EGP!$K$8:$K$17,MATCH($A10,EGP!$A$8:$A$17,0))</f>
        <v>5182.9003043399998</v>
      </c>
      <c r="P10" s="24">
        <f>INDEX('Prime Rate'!$B$2:$B$11,MATCH($A10,'Prime Rate'!$A$2:$A$11,0))/100</f>
        <v>4.8499999999999995E-2</v>
      </c>
      <c r="Q10" s="5">
        <f t="shared" si="2"/>
        <v>6690.6133043399996</v>
      </c>
      <c r="R10" s="5">
        <f t="shared" si="3"/>
        <v>4867.3683043399997</v>
      </c>
      <c r="S10" s="31">
        <f>INDEX(Inflation!$G$4:$G$19,MATCH($A10,Inflation!$A$4:$A$19,0))</f>
        <v>7.9908330350256129E-2</v>
      </c>
      <c r="T10" s="24">
        <f>INDEX('Green Street National'!$D$4:$D$18,MATCH($A10,'Green Street National'!$A$4:$A$18,0))</f>
        <v>4.6492600000000002E-2</v>
      </c>
      <c r="U10" s="37">
        <f>INDEX('Green Street National'!$F$4:$F$18,MATCH($A10,'Green Street National'!$A$4:$A$18,0))</f>
        <v>173.4329975271215</v>
      </c>
      <c r="V10" s="37">
        <f>INDEX(Inflation!$D$4:$D$19,MATCH($A10,Inflation!$A$4:$A$19,0))</f>
        <v>144.71306405636528</v>
      </c>
      <c r="W10" s="37">
        <f>INDEX(Inflation!$E$4:$E$19,MATCH($A10,Inflation!$A$4:$A$19,0))</f>
        <v>121.92495989666881</v>
      </c>
      <c r="X10" s="37">
        <f>INDEX('Costar - US Industrial'!$H$2:$H$28,MATCH(TEXT($A10,"0"),'Costar - US Industrial'!$A$2:$A$28,0))/'Costar - US Industrial'!$H$18*100</f>
        <v>148.93858703421395</v>
      </c>
      <c r="Y10" s="31">
        <f>INDEX('Green Street National'!$C$4:$C$18,MATCH($A10,'Green Street National'!$A$4:$A$18,0))</f>
        <v>0.25601942999999999</v>
      </c>
      <c r="Z10" s="31">
        <f>INDEX('Costar - US Industrial'!$F$2:$F$28,MATCH(TEXT($A10-1,"0"),'Costar - US Industrial'!$A$2:$A$28,0))-INDEX('Costar - US Industrial'!$F$2:$F$28,MATCH(TEXT($A10,"0"),'Costar - US Industrial'!$A$2:$A$28,0))</f>
        <v>2.3763565081054983E-3</v>
      </c>
      <c r="AA10" s="38">
        <f>INDEX('Costar - US Industrial'!$H$2:$H$28,MATCH(TEXT($A10,"0"),'Costar - US Industrial'!$A$2:$A$28,0))</f>
        <v>10.7360950922091</v>
      </c>
      <c r="AB10" s="31">
        <f>1-INDEX('Costar - US Industrial'!$F$2:$F$28,MATCH(TEXT($A10,"0"),'Costar - US Industrial'!$A$2:$A$28,0))</f>
        <v>0.96099685761421394</v>
      </c>
      <c r="AC10">
        <f t="shared" si="4"/>
        <v>180.0410526738425</v>
      </c>
      <c r="AE10" s="39" t="str">
        <f t="shared" si="5"/>
        <v>+20%</v>
      </c>
      <c r="AF10" s="39" t="str">
        <f t="shared" si="6"/>
        <v>+20%</v>
      </c>
    </row>
    <row r="11" spans="1:32" ht="15" customHeight="1" x14ac:dyDescent="0.25">
      <c r="A11">
        <v>2023</v>
      </c>
      <c r="B11" s="35">
        <f>INDEX(EGP!$Z$8:$Z$17,MATCH($A11,EGP!$A$8:$A$17,0))</f>
        <v>4.6048614158506473E-2</v>
      </c>
      <c r="C11" s="35">
        <f>INDEX(EGP!$Y$8:$Y$17,MATCH($A11,EGP!$A$8:$A$17,0))</f>
        <v>3.8800000000000001E-2</v>
      </c>
      <c r="D11" s="36">
        <f t="shared" si="0"/>
        <v>7.2486141585064723E-3</v>
      </c>
      <c r="E11" s="35">
        <f>INDEX(EGP!$AA$8:$AA$17,MATCH($A11,EGP!$A$8:$A$17,0))</f>
        <v>5.0038171257311456E-2</v>
      </c>
      <c r="F11" s="36">
        <f t="shared" si="1"/>
        <v>3.9895570988049828E-3</v>
      </c>
      <c r="G11" s="35">
        <f>INDEX('Costar - US Industrial'!$F$2:$F$28,MATCH(TEXT($A11,"0"),'Costar - US Industrial'!$A$2:$A$28,0))</f>
        <v>5.6521739316558198E-2</v>
      </c>
      <c r="H11" s="35">
        <f>INDEX('Costar - US Industrial'!$I$2:$I$28,MATCH(TEXT($A11,"0"),'Costar - US Industrial'!$A$2:$A$28,0))</f>
        <v>7.1323482103282002E-2</v>
      </c>
      <c r="I11" s="35">
        <f>INDEX('Costar - US Industrial'!$C$2:$C$28,MATCH(TEXT($A11,"0"),'Costar - US Industrial'!$A$2:$A$28,0))/INDEX('Costar - US Industrial'!$B$2:$B$28,MATCH(TEXT($A11,"0"),'Costar - US Industrial'!$A$2:$A$28,0))</f>
        <v>2.7711761957566982E-2</v>
      </c>
      <c r="J11" s="25">
        <f>INDEX(EGP!$AB$8:$AB$17,MATCH($A11,EGP!$A$8:$A$17,0))</f>
        <v>21.716180134278197</v>
      </c>
      <c r="K11" s="25">
        <f>INDEX(EGP!$AC$8:$AC$17,MATCH($A11,EGP!$A$8:$A$17,0))</f>
        <v>19.984743144542527</v>
      </c>
      <c r="L11" s="5">
        <f>INDEX(EGP!$B$8:$B$17,MATCH($A11,EGP!$A$8:$A$17,0))</f>
        <v>413.32100000000003</v>
      </c>
      <c r="M11" s="5">
        <f>INDEX(EGP!$Q$8:$Q$17,MATCH($A11,EGP!$A$8:$A$17,0))</f>
        <v>8975.7532892799991</v>
      </c>
      <c r="N11" s="5">
        <f>INDEX(EGP!$D$8:$D$17,MATCH($A11,EGP!$A$8:$A$17,0))</f>
        <v>365.32500000000005</v>
      </c>
      <c r="O11" s="5">
        <f>INDEX(EGP!$K$8:$K$17,MATCH($A11,EGP!$A$8:$A$17,0))</f>
        <v>7300.9262892799998</v>
      </c>
      <c r="P11" s="24">
        <f>INDEX('Prime Rate'!$B$2:$B$11,MATCH($A11,'Prime Rate'!$A$2:$A$11,0))/100</f>
        <v>8.1900000000000001E-2</v>
      </c>
      <c r="Q11" s="5">
        <f t="shared" si="2"/>
        <v>8562.4322892799992</v>
      </c>
      <c r="R11" s="5">
        <f t="shared" si="3"/>
        <v>6935.6012892799999</v>
      </c>
      <c r="S11" s="31">
        <f>INDEX(Inflation!$G$4:$G$19,MATCH($A11,Inflation!$A$4:$A$19,0))</f>
        <v>4.1271110564338187E-2</v>
      </c>
      <c r="T11" s="24">
        <f>INDEX('Green Street National'!$D$4:$D$18,MATCH($A11,'Green Street National'!$A$4:$A$18,0))</f>
        <v>5.1572890000000003E-2</v>
      </c>
      <c r="U11" s="37">
        <f>INDEX('Green Street National'!$F$4:$F$18,MATCH($A11,'Green Street National'!$A$4:$A$18,0))</f>
        <v>175.91029434755708</v>
      </c>
      <c r="V11" s="37">
        <f>INDEX(Inflation!$D$4:$D$19,MATCH($A11,Inflation!$A$4:$A$19,0))</f>
        <v>156.11789383101166</v>
      </c>
      <c r="W11" s="37">
        <f>INDEX(Inflation!$E$4:$E$19,MATCH($A11,Inflation!$A$4:$A$19,0))</f>
        <v>126.95693839711673</v>
      </c>
      <c r="X11" s="37">
        <f>INDEX('Costar - US Industrial'!$H$2:$H$28,MATCH(TEXT($A11,"0"),'Costar - US Industrial'!$A$2:$A$28,0))/'Costar - US Industrial'!$H$18*100</f>
        <v>159.56140568103808</v>
      </c>
      <c r="Y11" s="31">
        <f>INDEX('Green Street National'!$C$4:$C$18,MATCH($A11,'Green Street National'!$A$4:$A$18,0))</f>
        <v>4.6033749999999998E-2</v>
      </c>
      <c r="Z11" s="31">
        <f>INDEX('Costar - US Industrial'!$F$2:$F$28,MATCH(TEXT($A11-1,"0"),'Costar - US Industrial'!$A$2:$A$28,0))-INDEX('Costar - US Industrial'!$F$2:$F$28,MATCH(TEXT($A11,"0"),'Costar - US Industrial'!$A$2:$A$28,0))</f>
        <v>-1.7518596930772096E-2</v>
      </c>
      <c r="AA11" s="38">
        <f>INDEX('Costar - US Industrial'!$H$2:$H$28,MATCH(TEXT($A11,"0"),'Costar - US Industrial'!$A$2:$A$28,0))</f>
        <v>11.501830778377499</v>
      </c>
      <c r="AB11" s="31">
        <f>1-INDEX('Costar - US Industrial'!$F$2:$F$28,MATCH(TEXT($A11,"0"),'Costar - US Industrial'!$A$2:$A$28,0))</f>
        <v>0.94347826068344176</v>
      </c>
      <c r="AC11">
        <f t="shared" si="4"/>
        <v>188.32901748236702</v>
      </c>
      <c r="AE11" s="39" t="str">
        <f t="shared" si="5"/>
        <v>+17%</v>
      </c>
      <c r="AF11" s="39" t="str">
        <f t="shared" si="6"/>
        <v>+16%</v>
      </c>
    </row>
    <row r="12" spans="1:32" ht="15" customHeight="1" x14ac:dyDescent="0.25">
      <c r="A12">
        <v>2024</v>
      </c>
      <c r="B12" s="35">
        <f>INDEX(EGP!$Z$8:$Z$17,MATCH($A12,EGP!$A$8:$A$17,0))</f>
        <v>5.6305207782372121E-2</v>
      </c>
      <c r="C12" s="35">
        <f>INDEX(EGP!$Y$8:$Y$17,MATCH($A12,EGP!$A$8:$A$17,0))</f>
        <v>4.58E-2</v>
      </c>
      <c r="D12" s="36">
        <f t="shared" si="0"/>
        <v>1.0505207782372121E-2</v>
      </c>
      <c r="E12" s="35">
        <f>INDEX(EGP!$AA$8:$AA$17,MATCH($A12,EGP!$A$8:$A$17,0))</f>
        <v>6.3071007571225246E-2</v>
      </c>
      <c r="F12" s="36">
        <f t="shared" si="1"/>
        <v>6.7657997888531246E-3</v>
      </c>
      <c r="G12" s="35">
        <f>INDEX('Costar - US Industrial'!$F$2:$F$28,MATCH(TEXT($A12,"0"),'Costar - US Industrial'!$A$2:$A$28,0))</f>
        <v>6.8090352693426295E-2</v>
      </c>
      <c r="H12" s="35">
        <f>INDEX('Costar - US Industrial'!$I$2:$I$28,MATCH(TEXT($A12,"0"),'Costar - US Industrial'!$A$2:$A$28,0))</f>
        <v>3.5643374899532898E-2</v>
      </c>
      <c r="I12" s="35">
        <f>INDEX('Costar - US Industrial'!$C$2:$C$28,MATCH(TEXT($A12,"0"),'Costar - US Industrial'!$A$2:$A$28,0))/INDEX('Costar - US Industrial'!$B$2:$B$28,MATCH(TEXT($A12,"0"),'Costar - US Industrial'!$A$2:$A$28,0))</f>
        <v>1.9413685589803824E-2</v>
      </c>
      <c r="J12" s="25">
        <f>INDEX(EGP!$AB$8:$AB$17,MATCH($A12,EGP!$A$8:$A$17,0))</f>
        <v>17.760346500543015</v>
      </c>
      <c r="K12" s="25">
        <f>INDEX(EGP!$AC$8:$AC$17,MATCH($A12,EGP!$A$8:$A$17,0))</f>
        <v>15.855145470297321</v>
      </c>
      <c r="L12" s="5">
        <f>INDEX(EGP!$B$8:$B$17,MATCH($A12,EGP!$A$8:$A$17,0))</f>
        <v>464.995</v>
      </c>
      <c r="M12" s="5">
        <f>INDEX(EGP!$Q$8:$Q$17,MATCH($A12,EGP!$A$8:$A$17,0))</f>
        <v>8258.4723210199991</v>
      </c>
      <c r="N12" s="5">
        <f>INDEX(EGP!$D$8:$D$17,MATCH($A12,EGP!$A$8:$A$17,0))</f>
        <v>426.03899999999999</v>
      </c>
      <c r="O12" s="5">
        <f>INDEX(EGP!$K$8:$K$17,MATCH($A12,EGP!$A$8:$A$17,0))</f>
        <v>6754.9103210200001</v>
      </c>
      <c r="P12" s="24">
        <f>INDEX('Prime Rate'!$B$2:$B$11,MATCH($A12,'Prime Rate'!$A$2:$A$11,0))/100</f>
        <v>8.3100000000000007E-2</v>
      </c>
      <c r="Q12" s="5">
        <f t="shared" si="2"/>
        <v>7793.4773210199992</v>
      </c>
      <c r="R12" s="5">
        <f t="shared" si="3"/>
        <v>6328.8713210200003</v>
      </c>
      <c r="S12" s="31">
        <f>INDEX(Inflation!$G$4:$G$19,MATCH($A12,Inflation!$A$4:$A$19,0))</f>
        <v>2.9520549518711636E-2</v>
      </c>
      <c r="T12" s="24">
        <f>INDEX('Green Street National'!$D$4:$D$18,MATCH($A12,'Green Street National'!$A$4:$A$18,0))</f>
        <v>5.2849069999999998E-2</v>
      </c>
      <c r="U12" s="37">
        <f>INDEX('Green Street National'!$F$4:$F$18,MATCH($A12,'Green Street National'!$A$4:$A$18,0))</f>
        <v>176.10718373483448</v>
      </c>
      <c r="V12" s="37">
        <f>INDEX(Inflation!$D$4:$D$19,MATCH($A12,Inflation!$A$4:$A$19,0))</f>
        <v>156.28103766650528</v>
      </c>
      <c r="W12" s="37">
        <f>INDEX(Inflation!$E$4:$E$19,MATCH($A12,Inflation!$A$4:$A$19,0))</f>
        <v>130.70477698381282</v>
      </c>
      <c r="X12" s="37">
        <f>INDEX('Costar - US Industrial'!$H$2:$H$28,MATCH(TEXT($A12,"0"),'Costar - US Industrial'!$A$2:$A$28,0))/'Costar - US Industrial'!$H$18*100</f>
        <v>165.24871268322249</v>
      </c>
      <c r="Y12" s="31">
        <f>INDEX('Green Street National'!$C$4:$C$18,MATCH($A12,'Green Street National'!$A$4:$A$18,0))</f>
        <v>-4.4370260000000002E-2</v>
      </c>
      <c r="Z12" s="31">
        <f>INDEX('Costar - US Industrial'!$F$2:$F$28,MATCH(TEXT($A12-1,"0"),'Costar - US Industrial'!$A$2:$A$28,0))-INDEX('Costar - US Industrial'!$F$2:$F$28,MATCH(TEXT($A12,"0"),'Costar - US Industrial'!$A$2:$A$28,0))</f>
        <v>-1.1568613376868098E-2</v>
      </c>
      <c r="AA12" s="38">
        <f>INDEX('Costar - US Industrial'!$H$2:$H$28,MATCH(TEXT($A12,"0"),'Costar - US Industrial'!$A$2:$A$28,0))</f>
        <v>11.911794844842101</v>
      </c>
      <c r="AB12" s="31">
        <f>1-INDEX('Costar - US Industrial'!$F$2:$F$28,MATCH(TEXT($A12,"0"),'Costar - US Industrial'!$A$2:$A$28,0))</f>
        <v>0.93190964730657366</v>
      </c>
      <c r="AC12">
        <f t="shared" si="4"/>
        <v>179.97281001112987</v>
      </c>
      <c r="AE12" s="39" t="str">
        <f t="shared" si="5"/>
        <v>+13%</v>
      </c>
      <c r="AF12" s="39" t="str">
        <f t="shared" si="6"/>
        <v>+17%</v>
      </c>
    </row>
    <row r="13" spans="1:32" ht="15" customHeight="1" x14ac:dyDescent="0.25">
      <c r="A13">
        <v>2025</v>
      </c>
      <c r="B13" s="35">
        <f>INDEX(EGP!$Z$8:$Z$17,MATCH($A13,EGP!$A$8:$A$17,0))</f>
        <v>5.579826247565866E-2</v>
      </c>
      <c r="C13" s="35">
        <f>INDEX(EGP!$Y$8:$Y$17,MATCH($A13,EGP!$A$8:$A$17,0))</f>
        <v>4.1799999999999997E-2</v>
      </c>
      <c r="D13" s="36">
        <f t="shared" si="0"/>
        <v>1.3998262475658663E-2</v>
      </c>
      <c r="E13" s="35">
        <f>INDEX(EGP!$AA$8:$AA$17,MATCH($A13,EGP!$A$8:$A$17,0))</f>
        <v>6.328223963861826E-2</v>
      </c>
      <c r="F13" s="36">
        <f t="shared" si="1"/>
        <v>7.4839771629596E-3</v>
      </c>
      <c r="G13" s="35">
        <f>INDEX('Costar - US Industrial'!$F$2:$F$28,MATCH(TEXT($A13,"0"),'Costar - US Industrial'!$A$2:$A$28,0))</f>
        <v>7.4612511764970205E-2</v>
      </c>
      <c r="H13" s="35">
        <f>INDEX('Costar - US Industrial'!$I$2:$I$28,MATCH(TEXT($A13,"0"),'Costar - US Industrial'!$A$2:$A$28,0))</f>
        <v>1.9678942555793499E-2</v>
      </c>
      <c r="I13" s="35">
        <f>INDEX('Costar - US Industrial'!$C$2:$C$28,MATCH(TEXT($A13,"0"),'Costar - US Industrial'!$A$2:$A$28,0))/INDEX('Costar - US Industrial'!$B$2:$B$28,MATCH(TEXT($A13,"0"),'Costar - US Industrial'!$A$2:$A$28,0))</f>
        <v>1.328722929203972E-2</v>
      </c>
      <c r="J13" s="25">
        <f>INDEX(EGP!$AB$8:$AB$17,MATCH($A13,EGP!$A$8:$A$17,0))</f>
        <v>17.921705007144951</v>
      </c>
      <c r="K13" s="25">
        <f>INDEX(EGP!$AC$8:$AC$17,MATCH($A13,EGP!$A$8:$A$17,0))</f>
        <v>15.802222009060275</v>
      </c>
      <c r="L13" s="5">
        <f>INDEX(EGP!$B$8:$B$17,MATCH($A13,EGP!$A$8:$A$17,0))</f>
        <v>528.34500000000003</v>
      </c>
      <c r="M13" s="5">
        <f>INDEX(EGP!$Q$8:$Q$17,MATCH($A13,EGP!$A$8:$A$17,0))</f>
        <v>9468.8432319999993</v>
      </c>
      <c r="N13" s="5">
        <f>INDEX(EGP!$D$8:$D$17,MATCH($A13,EGP!$A$8:$A$17,0))</f>
        <v>496.23200000000003</v>
      </c>
      <c r="O13" s="5">
        <f>INDEX(EGP!$K$8:$K$17,MATCH($A13,EGP!$A$8:$A$17,0))</f>
        <v>7841.5682319999987</v>
      </c>
      <c r="P13" s="24">
        <f>INDEX('Prime Rate'!$B$2:$B$11,MATCH($A13,'Prime Rate'!$A$2:$A$11,0))/100</f>
        <v>7.3700000000000002E-2</v>
      </c>
      <c r="Q13" s="5">
        <f t="shared" si="2"/>
        <v>8940.4982319999999</v>
      </c>
      <c r="R13" s="5">
        <f t="shared" si="3"/>
        <v>7345.3362319999987</v>
      </c>
      <c r="S13" s="31">
        <f>INDEX(Inflation!$G$4:$G$19,MATCH($A13,Inflation!$A$4:$A$19,0))</f>
        <v>2.6343808376209088E-2</v>
      </c>
      <c r="T13" s="24">
        <f>INDEX('Green Street National'!$D$4:$D$18,MATCH($A13,'Green Street National'!$A$4:$A$18,0))</f>
        <v>5.4278229999999997E-2</v>
      </c>
      <c r="U13" s="37">
        <f>INDEX('Green Street National'!$F$4:$F$18,MATCH($A13,'Green Street National'!$A$4:$A$18,0))</f>
        <v>181.30796990700887</v>
      </c>
      <c r="V13" s="37">
        <f>INDEX(Inflation!$D$4:$D$19,MATCH($A13,Inflation!$A$4:$A$19,0))</f>
        <v>158.82142024776348</v>
      </c>
      <c r="W13" s="37">
        <f>INDEX(Inflation!$E$4:$E$19,MATCH($A13,Inflation!$A$4:$A$19,0))</f>
        <v>134.14803858252952</v>
      </c>
      <c r="X13" s="37">
        <f>INDEX('Costar - US Industrial'!$H$2:$H$28,MATCH(TEXT($A13,"0"),'Costar - US Industrial'!$A$2:$A$28,0))/'Costar - US Industrial'!$H$18*100</f>
        <v>168.50063260753521</v>
      </c>
      <c r="Y13" s="31">
        <f>INDEX('Green Street National'!$C$4:$C$18,MATCH($A13,'Green Street National'!$A$4:$A$18,0))</f>
        <v>-3.6628189999999998E-2</v>
      </c>
      <c r="Z13" s="31">
        <f>INDEX('Costar - US Industrial'!$F$2:$F$28,MATCH(TEXT($A13-1,"0"),'Costar - US Industrial'!$A$2:$A$28,0))-INDEX('Costar - US Industrial'!$F$2:$F$28,MATCH(TEXT($A13,"0"),'Costar - US Industrial'!$A$2:$A$28,0))</f>
        <v>-6.5221590715439093E-3</v>
      </c>
      <c r="AA13" s="38">
        <f>INDEX('Costar - US Industrial'!$H$2:$H$28,MATCH(TEXT($A13,"0"),'Costar - US Industrial'!$A$2:$A$28,0))</f>
        <v>12.1462063713302</v>
      </c>
      <c r="AB13" s="31">
        <f>1-INDEX('Costar - US Industrial'!$F$2:$F$28,MATCH(TEXT($A13,"0"),'Costar - US Industrial'!$A$2:$A$28,0))</f>
        <v>0.92538748823502981</v>
      </c>
      <c r="AC13">
        <f t="shared" si="4"/>
        <v>173.3807317312083</v>
      </c>
      <c r="AE13" s="39" t="str">
        <f t="shared" si="5"/>
        <v>+14%</v>
      </c>
      <c r="AF13" s="39" t="str">
        <f t="shared" si="6"/>
        <v>+16%</v>
      </c>
    </row>
    <row r="14" spans="1:32" x14ac:dyDescent="0.25">
      <c r="G14" s="40"/>
    </row>
    <row r="15" spans="1:32" ht="15" customHeight="1" x14ac:dyDescent="0.25">
      <c r="A15" t="s">
        <v>572</v>
      </c>
    </row>
    <row r="16" spans="1:32" ht="15" customHeight="1" x14ac:dyDescent="0.25">
      <c r="A16" t="s">
        <v>573</v>
      </c>
      <c r="X16" s="41"/>
    </row>
    <row r="17" spans="1:24" ht="15" customHeight="1" x14ac:dyDescent="0.25">
      <c r="A17" t="s">
        <v>574</v>
      </c>
      <c r="X17" s="41"/>
    </row>
    <row r="18" spans="1:24" ht="15" customHeight="1" x14ac:dyDescent="0.25">
      <c r="A18" t="s">
        <v>575</v>
      </c>
      <c r="X18" s="41"/>
    </row>
    <row r="19" spans="1:24" ht="15" customHeight="1" x14ac:dyDescent="0.25">
      <c r="A19" t="s">
        <v>576</v>
      </c>
      <c r="X19" s="41"/>
    </row>
    <row r="20" spans="1:24" ht="15" customHeight="1" x14ac:dyDescent="0.25">
      <c r="A20" t="s">
        <v>577</v>
      </c>
      <c r="X20" s="41"/>
    </row>
    <row r="21" spans="1:24" ht="15" customHeight="1" x14ac:dyDescent="0.25">
      <c r="A21" t="s">
        <v>578</v>
      </c>
      <c r="X21" s="41"/>
    </row>
    <row r="22" spans="1:24" ht="15" customHeight="1" x14ac:dyDescent="0.25">
      <c r="A22" t="s">
        <v>579</v>
      </c>
      <c r="X22" s="41"/>
    </row>
    <row r="23" spans="1:24" ht="15" customHeight="1" x14ac:dyDescent="0.25">
      <c r="A23" t="s">
        <v>580</v>
      </c>
      <c r="X23" s="41"/>
    </row>
    <row r="24" spans="1:24" ht="15" customHeight="1" x14ac:dyDescent="0.25">
      <c r="A24" t="s">
        <v>581</v>
      </c>
      <c r="X24" s="41"/>
    </row>
    <row r="25" spans="1:24" ht="15" customHeight="1" x14ac:dyDescent="0.25">
      <c r="A25" t="s">
        <v>582</v>
      </c>
    </row>
    <row r="26" spans="1:24" ht="15" customHeight="1" x14ac:dyDescent="0.25">
      <c r="A26" t="s">
        <v>583</v>
      </c>
    </row>
    <row r="27" spans="1:24" ht="15" customHeight="1" x14ac:dyDescent="0.25">
      <c r="A27" t="s">
        <v>584</v>
      </c>
    </row>
    <row r="28" spans="1:24" ht="15" customHeight="1" x14ac:dyDescent="0.25">
      <c r="A28" t="s">
        <v>585</v>
      </c>
    </row>
    <row r="29" spans="1:24" ht="15" customHeight="1" x14ac:dyDescent="0.25">
      <c r="A29" t="s">
        <v>586</v>
      </c>
    </row>
    <row r="30" spans="1:24" ht="15" customHeight="1" x14ac:dyDescent="0.25">
      <c r="A30" t="s">
        <v>587</v>
      </c>
    </row>
    <row r="31" spans="1:24" ht="15" customHeight="1" x14ac:dyDescent="0.25">
      <c r="A31" t="s">
        <v>588</v>
      </c>
    </row>
    <row r="32" spans="1:24" ht="15" customHeight="1" x14ac:dyDescent="0.25">
      <c r="A32" t="s">
        <v>589</v>
      </c>
    </row>
    <row r="173" spans="1:1" x14ac:dyDescent="0.25">
      <c r="A173">
        <v>4</v>
      </c>
    </row>
    <row r="318" ht="15" customHeight="1" x14ac:dyDescent="0.25"/>
    <row r="319" ht="15" customHeight="1" x14ac:dyDescent="0.25"/>
  </sheetData>
  <pageMargins left="0.75" right="0.75" top="1" bottom="1" header="0.511811023622047" footer="0.511811023622047"/>
  <pageSetup paperSize="9" orientation="portrait" horizontalDpi="300" verticalDpi="300"/>
  <drawing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Sources</vt:lpstr>
      <vt:lpstr>EGP</vt:lpstr>
      <vt:lpstr>FR</vt:lpstr>
      <vt:lpstr>STAG</vt:lpstr>
      <vt:lpstr>WALT_Calc_EGP</vt:lpstr>
      <vt:lpstr>WALT_Calc_FR</vt:lpstr>
      <vt:lpstr>WALT_Calc_STAG</vt:lpstr>
      <vt:lpstr>Composite</vt:lpstr>
      <vt:lpstr>EGP vs Market</vt:lpstr>
      <vt:lpstr>FR vs Market</vt:lpstr>
      <vt:lpstr>STAG vs Market</vt:lpstr>
      <vt:lpstr>Composite vs Market</vt:lpstr>
      <vt:lpstr>Costar - US Industrial</vt:lpstr>
      <vt:lpstr>Green Street National</vt:lpstr>
      <vt:lpstr>GS Regional Mar 2026</vt:lpstr>
      <vt:lpstr>Inflation</vt:lpstr>
      <vt:lpstr>10 YR UST</vt:lpstr>
      <vt:lpstr>Prime Rate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Weintraub</dc:creator>
  <dc:description/>
  <cp:lastModifiedBy>Charles Weintraub</cp:lastModifiedBy>
  <cp:revision>20</cp:revision>
  <dcterms:created xsi:type="dcterms:W3CDTF">2026-07-01T16:26:41Z</dcterms:created>
  <dcterms:modified xsi:type="dcterms:W3CDTF">2026-07-24T17:27:37Z</dcterms:modified>
  <dc:language>en-US</dc:language>
</cp:coreProperties>
</file>