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6.xml.rels" ContentType="application/vnd.openxmlformats-package.relationships+xml"/>
  <Override PartName="/xl/worksheets/_rels/sheet15.xml.rels" ContentType="application/vnd.openxmlformats-package.relationships+xml"/>
  <Override PartName="/xl/worksheets/_rels/sheet3.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10.xml" ContentType="application/vnd.openxmlformats-officedocument.drawingml.chart+xml"/>
  <Override PartName="/xl/charts/chart6.xml" ContentType="application/vnd.openxmlformats-officedocument.drawingml.chart+xml"/>
  <Override PartName="/xl/charts/chart11.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ources &amp; Notes" sheetId="1" state="visible" r:id="rId3"/>
    <sheet name="US Balance Sheet" sheetId="2" state="visible" r:id="rId4"/>
    <sheet name="Debt Comparisons" sheetId="3" state="visible" r:id="rId5"/>
    <sheet name="Profit Decomposition" sheetId="4" state="visible" r:id="rId6"/>
    <sheet name="Valuation Blend" sheetId="5" state="visible" r:id="rId7"/>
    <sheet name="Business Equity Components" sheetId="6" state="visible" r:id="rId8"/>
    <sheet name="US Net Wealth" sheetId="7" state="visible" r:id="rId9"/>
    <sheet name="Corporate EBITDA" sheetId="8" state="visible" r:id="rId10"/>
    <sheet name="Government P&amp;L" sheetId="9" state="visible" r:id="rId11"/>
    <sheet name="P&amp;L History" sheetId="10" state="visible" r:id="rId12"/>
    <sheet name="Intragovernmental" sheetId="11" state="visible" r:id="rId13"/>
    <sheet name="HH Balance Sheet" sheetId="12" state="visible" r:id="rId14"/>
    <sheet name="Sector Debt" sheetId="13" state="visible" r:id="rId15"/>
    <sheet name="Historical Data" sheetId="14" state="visible" r:id="rId16"/>
    <sheet name="Growth Comparison" sheetId="15" state="visible" r:id="rId17"/>
    <sheet name="Foreign Holders" sheetId="16" state="visible" r:id="rId1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<sst xmlns="http://schemas.openxmlformats.org/spreadsheetml/2006/main" count="570" uniqueCount="521">
  <si>
    <t xml:space="preserve">Debt in Context: Sources &amp; Notes</t>
  </si>
  <si>
    <t xml:space="preserve">All dollar values in $ billions unless noted. All figures below are from primary sources reviewed in-session.</t>
  </si>
  <si>
    <t xml:space="preserve">Source</t>
  </si>
  <si>
    <t xml:space="preserve">As of / Vintage</t>
  </si>
  <si>
    <t xml:space="preserve">Details</t>
  </si>
  <si>
    <t xml:space="preserve">Federal Reserve, Z.1 Financial Accounts, June 11, 2026 release (full publication)</t>
  </si>
  <si>
    <t xml:space="preserve">Q1 2026</t>
  </si>
  <si>
    <t xml:space="preserve">Table S1.b (B.1): U.S. net wealth $166,680.6B; household net worth $182,979.9B. Corporate equities table: total issues at market $106,893.0B, of which foreign issues $15,035.8B; domestic $91,857.2B (nonfinancial publicly traded $57,708.9B, nonfinancial closely held $11,802.8B, financial $22,345.6B). Net foreign claims on U.S.: $24,972.4B. Condensed household balance sheet as before.</t>
  </si>
  <si>
    <t xml:space="preserve">U.S. Treasury, Monthly Statement of the Public Debt (MSPD), June 30, 2026, Tables I and III</t>
  </si>
  <si>
    <t xml:space="preserve">June 30, 2026</t>
  </si>
  <si>
    <t xml:space="preserve">Total public debt $39,462.398B = held by public $31,681.308B + intragovernmental $7,781.090B. Table III fund-level Government Account Series detail (see Intragovernmental tab). TSP G Fund ($356.9B) is classified as debt held by the public, not intragovernmental.</t>
  </si>
  <si>
    <t xml:space="preserve">U.S. Treasury, Debt to the Penny</t>
  </si>
  <si>
    <t xml:space="preserve">July 6, 2026</t>
  </si>
  <si>
    <t xml:space="preserve">Memo vintage: total $39,388B; held by public $31,680B; intragovernmental $7,708B. Workbook uses June 30 MSPD for internal consistency.</t>
  </si>
  <si>
    <t xml:space="preserve">U.S. Treasury, Final MTS FY2025, Table 9 (Outlays by Function, net)</t>
  </si>
  <si>
    <t xml:space="preserve">FY2025</t>
  </si>
  <si>
    <t xml:space="preserve">Receipts $5,234.616B; outlays $7,009.974B. Functions: Social Security $1,580.686B; Medicare $996.719B; Health $978.877B; National Defense $916.649B; Income Security $701.584B; Veterans $377.162B; Net Interest $970.359B.</t>
  </si>
  <si>
    <t xml:space="preserve">BEA NIPA via FRED: CP; PROPINC; RENTIN</t>
  </si>
  <si>
    <t xml:space="preserve">Q1 2026, SAAR</t>
  </si>
  <si>
    <t xml:space="preserve">$3,917.2B; $2,138.0B; $1,127.7B (June 25, 2026 third-estimate vintage, per FRED graph exports).</t>
  </si>
  <si>
    <t xml:space="preserve">S&amp;P Dow Jones Indices, S&amp;P 500 Earnings and Estimates file (Jan 30, 2026 vintage)</t>
  </si>
  <si>
    <t xml:space="preserve">TTM through Q3 2025</t>
  </si>
  <si>
    <t xml:space="preserve">As-reported (GAAP) EPS trailing four quarters $234.06 x divisor 8,529.16M = $1,996.3B aggregate. Operating basis $2,172.9B. Index market value 12/31/25: $58,437B. NOTE: the analyst's public file has been discontinued (May 2026); future pulls from spglobal.com index-earnings page.</t>
  </si>
  <si>
    <t xml:space="preserve">FTSE Russell, Russell 3000 factsheet</t>
  </si>
  <si>
    <t xml:space="preserve">P/E ex-negative earnings 26.62; 2,998 holdings; approx. 98% of investable U.S. equity market. Factsheet does not publish total index market cap.</t>
  </si>
  <si>
    <t xml:space="preserve">BEA NIPA Table 1.14 via FRED graph export (fredgraph.xlsx)</t>
  </si>
  <si>
    <t xml:space="preserve">CY2025 annual; vintage May 28, 2026</t>
  </si>
  <si>
    <t xml:space="preserve">Corporate gross value added $17,885.1B; CFC $2,742.8B; compensation $9,891.5B; taxes on production $1,412.9B; net operating surplus $3,837.9B; net interest $43.8B; profits w/ IVA-CCAdj $3,550.9B; taxes on corporate income $695.2B. Annual series back to 1929 retained for future charts.</t>
  </si>
  <si>
    <t xml:space="preserve">BEA NIPA Table 1.12 via FRED graph export (fredgraph__1_.xlsx)</t>
  </si>
  <si>
    <t xml:space="preserve">Q1 2026 SAAR; vintage June 25, 2026</t>
  </si>
  <si>
    <t xml:space="preserve">National income $26,361.0B; compensation $16,082.5B; PROPINC $2,138.0B; RENTIN $1,127.7B. Quarterly series back to 1947 retained.</t>
  </si>
  <si>
    <t xml:space="preserve">OMB Historical Tables, FY2027 Budget: Table 1.1 (receipts/outlays/deficit) and Table 3.1 (outlays by function, Net Interest row)</t>
  </si>
  <si>
    <t xml:space="preserve">FY1996-FY2025 actuals</t>
  </si>
  <si>
    <t xml:space="preserve">P&amp;L History tab. FY2026+ columns are budget estimates and are excluded.</t>
  </si>
  <si>
    <t xml:space="preserve">Federal Reserve H.6 via FRED M2SL (June 23, 2026 release)</t>
  </si>
  <si>
    <t xml:space="preserve">May 2026</t>
  </si>
  <si>
    <t xml:space="preserve">M2 = $23,052.3B, monthly, seasonally adjusted. The weekly M2 series was discontinued Feb 2021; M2SL is the continuing series. ONE UPDATE PENDING: the July 28, 2026 H.6 release restates the full M2 series (IRA/Keogh netting change); refresh this single input then.</t>
  </si>
  <si>
    <t xml:space="preserve">Assumption (input)</t>
  </si>
  <si>
    <t xml:space="preserve">Average interest rate on business debt (US Balance Sheet tab, blue input).</t>
  </si>
  <si>
    <t xml:space="preserve">Estimate (flagged)</t>
  </si>
  <si>
    <t xml:space="preserve">"Other publicly traded" earnings on Profit Decomposition tab: no primary source publishes aggregate non-S&amp;P public earnings; estimated from Russell 3000 coverage and flagged in red.</t>
  </si>
  <si>
    <t xml:space="preserve">Federal Reserve Z.1 and U.S. Treasury via FRED: CMDEBT, TBSDODNS, BCNSDODNS, SLGSDODNS, TODNS, FYGFDPUN, GFDEBTN; BEA via FRED: GDP; Fed H.15 via FRED: GS10</t>
  </si>
  <si>
    <t xml:space="preserve">Z.1 series: Q1 2026 (June 11, 2026 update); FYGFDPUN and GFDEBTN: Q1 2026 (June 18); GDP: Q1 2026 (June 25); GS10: June 2026 (July 1). All files exported July 15, 2026.</t>
  </si>
  <si>
    <t xml:space="preserve">Sector Debt tab. Household = households and nonprofits. Business = all nonfinancial business: corporate (BCNSDODNS) plus noncorporate (sole proprietorships, partnerships, LLCs, and individuals' rental real estate), with the split derived as TBSDODNS less BCNSDODNS. Federal is carried on two bases: gross federal debt (GFDEBTN, total public debt = held by the public plus intragovernmental) is the focal measure per the methodology note and drives the sector chart; debt held by the public (FYGFDPUN) is retained as the secondary column and drives the effective-rate calculation, since net interest is paid only on the public share. Financial-sector debt excluded (funds lending already counted at the borrower); foreign borrowers excluded. Residual column = the Z.1 federal debt measure less the Treasury measure (see Debt Comparisons reconciliation). GS10 is reserved for the effective-rate panel on the federal P&amp;L chart.</t>
  </si>
  <si>
    <t xml:space="preserve">OMB Historical Tables, FY2027 Budget: Table 7.1 (federal debt at end of year: gross, held by federal government accounts, held by the public)</t>
  </si>
  <si>
    <t xml:space="preserve">FY1940-FY2025 actuals</t>
  </si>
  <si>
    <t xml:space="preserve">Sector Debt tab fiscal year-end snapshot table (federal layers of the sector composition chart) and the pending effective interest rate calculation on P&amp;L History.</t>
  </si>
  <si>
    <t xml:space="preserve">Presentation tabs added 2026-07-16</t>
  </si>
  <si>
    <t xml:space="preserve">Business Equity Components and US Net Wealth are reader-facing views for the U.S. National Balance Sheet page. They contain no inputs: every figure is a formula pointing at US Balance Sheet, Valuation Blend, Profit Decomposition, or Debt Comparisons, except the Z.1 net-foreign-claims memo on US Net Wealth (B15). Tie-out rows on both tabs read zero.</t>
  </si>
  <si>
    <t xml:space="preserve">MERGED 2026-07-16: former inflation-national-debt.xlsx (U.S. Treasury/FRED GFDEBTN; BEA/FRED GDPA Sep 2025 revision; BEA Table 1.1.1; Treasury MTS Final FY2024; GAO-25-107138)</t>
  </si>
  <si>
    <t xml:space="preserve">Refreshed July 16, 2026</t>
  </si>
  <si>
    <t xml:space="preserve">Historical Data and Growth Comparison tabs (merged from inflation-national-debt.xlsx). Both refreshed to current vintages on July 16, 2026: GFDEBTN fiscal year-end (June 18, 2026 update; 1960–1975 from Treasury Historical Debt Outstanding, June 30 fiscal year-ends), GDPA (April 9, 2026 vintage), BEA real GDP growth Table 1.1.1 (March 13, 2026 vintage), deficits from Treasury Final MTS (FY2025: receipts $5,234.616B less outlays $7,009.974B = −$1,775.4B). Corrections applied: FY2020 debt to the September 30, 2020 fiscal year-end; FY1985–FY2007 debt from OMB 7.1 values to GFDEBTN. RETIRED 2026-07-30: the Debasement Trade tab (gold, silver and bitcoin index, February 2026 compilation) and its two charts were removed with the corresponding section of inflation-national-debt.html; the material sat outside the federal debt sustainability question. The pre-retirement workbook is archived as inflation-debt-in-context-PRE-DEBASEMENT-RETIREMENT-2026-07-30.xlsx in Data Link Files / Archive and Backup. inflation-national-debt.html links this workbook; the standalone file is superseded.</t>
  </si>
  <si>
    <t xml:space="preserve">DEBT BASES (read before comparing tabs)</t>
  </si>
  <si>
    <t xml:space="preserve">Vintage seam resolved for Historical Data and Growth Comparison on July 16, 2026 (current vintages). Distinct gross-debt bases remain by design and are reconciled in the bridge on Debt Comparisons rows 41–47: GFDEBTN Treasury fiscal year-end drives Historical Data and Growth Comparison ($37,637.6B, September 30, 2025); OMB 7.1 budget basis drives P&amp;L History ($37,375.0B, FY2025); MSPD drives current-period detail ($39,462.4B, June 30, 2026). Do not carry a figure across tabs without restating its date and basis.</t>
  </si>
  <si>
    <t xml:space="preserve">METHODOLOGY NOTE</t>
  </si>
  <si>
    <t xml:space="preserve">Gross federal debt is the focal measure (Treasury cash-obligation view). Any future sustainability analysis adding unfunded entitlement obligations must pair them with debt held by the public, not gross debt, to avoid double counting trust fund securities.</t>
  </si>
  <si>
    <t xml:space="preserve">A CRE Investor's Balance Sheet of the United States</t>
  </si>
  <si>
    <t xml:space="preserve">Earnings-multiple valuation of U.S. business plus directly held household real assets, overlaps removed. $ billions, Q1 2026.</t>
  </si>
  <si>
    <t xml:space="preserve">Step 1: National business income (after-tax, after interest expense), SAAR</t>
  </si>
  <si>
    <t xml:space="preserve">Corporate profits after tax (all C and S corporations, public and private)</t>
  </si>
  <si>
    <t xml:space="preserve">Proprietors' income (partnerships, LLCs, sole proprietorships)</t>
  </si>
  <si>
    <t xml:space="preserve">Rental income of persons (individually held rental property)</t>
  </si>
  <si>
    <t xml:space="preserve">Total capitalizable business income (levered)</t>
  </si>
  <si>
    <t xml:space="preserve">Earnings are after debt payments, so the capitalization metric is an earnings (P/E) multiple, not a cap rate.</t>
  </si>
  <si>
    <t xml:space="preserve">Step 2: Apply an earnings multiple to derive equity value</t>
  </si>
  <si>
    <t xml:space="preserve">Multiple</t>
  </si>
  <si>
    <t xml:space="preserve">Implied equity value of all U.S. business</t>
  </si>
  <si>
    <t xml:space="preserve">Base case earnings multiple (input)</t>
  </si>
  <si>
    <t xml:space="preserve">Base case equity value of U.S. business</t>
  </si>
  <si>
    <t xml:space="preserve">Step 2b: Total enterprise value and unlevered income</t>
  </si>
  <si>
    <t xml:space="preserve">Add: nonfinancial business debt (Z.1 exact: corporate 14,453.8 + noncorporate 8,133.9)</t>
  </si>
  <si>
    <t xml:space="preserve">Total enterprise value (TEV) of U.S. business</t>
  </si>
  <si>
    <t xml:space="preserve">Assumed average interest rate on business debt (input)</t>
  </si>
  <si>
    <t xml:space="preserve">Estimated business debt service</t>
  </si>
  <si>
    <t xml:space="preserve">Unlevered business income (levered income + debt service)</t>
  </si>
  <si>
    <t xml:space="preserve">Implied unlevered yield on TEV (cap rate equivalent)</t>
  </si>
  <si>
    <t xml:space="preserve">Step 3: Add household real assets not captured in business income</t>
  </si>
  <si>
    <t xml:space="preserve">Owner-occupied residential real estate (Z.1)</t>
  </si>
  <si>
    <t xml:space="preserve">Household deposits and money market funds (Z.1)</t>
  </si>
  <si>
    <t xml:space="preserve">Less: home mortgage debt (mortgage claims sit inside capitalized lender value)</t>
  </si>
  <si>
    <t xml:space="preserve">Approximate U.S. private net wealth, build-up method</t>
  </si>
  <si>
    <t xml:space="preserve">Reconciliation and market sanity check</t>
  </si>
  <si>
    <t xml:space="preserve">Fed Z.1 Table B.1, official U.S. net wealth</t>
  </si>
  <si>
    <t xml:space="preserve">Build-up less official (gap)</t>
  </si>
  <si>
    <t xml:space="preserve">Z.1 market value of all U.S. corporate equity (domestic issues)</t>
  </si>
  <si>
    <t xml:space="preserve">Z.1 household equity in noncorporate business</t>
  </si>
  <si>
    <t xml:space="preserve">Market value of all U.S. business equity</t>
  </si>
  <si>
    <t xml:space="preserve">Market-implied earnings multiple (built up segment-by-segment on the Valuation Blend tab)</t>
  </si>
  <si>
    <t xml:space="preserve">Build-up recomputed at the market-implied multiple</t>
  </si>
  <si>
    <t xml:space="preserve">vs. official B.1 net wealth</t>
  </si>
  <si>
    <t xml:space="preserve">Reading: at the market-implied multiple of about 15x, the build-up lands within about 2% of the Fed's official figure. The remaining wedges: B.1 subtracts net foreign claims on the U.S. ($24,972.4B) and adds government nonfinancial assets, which this build-up omits.</t>
  </si>
  <si>
    <t xml:space="preserve">Overlaps deliberately excluded (claims on value already counted above):</t>
  </si>
  <si>
    <t xml:space="preserve">Household corporate equity holdings, direct and indirect</t>
  </si>
  <si>
    <t xml:space="preserve">Household equity in noncorporate business</t>
  </si>
  <si>
    <t xml:space="preserve">Household debt securities, including Treasuries and corporate bonds</t>
  </si>
  <si>
    <t xml:space="preserve">Memo: household net worth as published (Z.1, exact)</t>
  </si>
  <si>
    <t xml:space="preserve">The Fed's own build-up of U.S. net wealth, by component (Z.1 Table B.1, 2025 Q3)</t>
  </si>
  <si>
    <t xml:space="preserve">Households and nonprofits: houses, durables, nonprofit equipment (line 2)</t>
  </si>
  <si>
    <t xml:space="preserve">Noncorporate business: real estate, equipment, inventories (line 7)</t>
  </si>
  <si>
    <t xml:space="preserve">Security brokers and dealers, proprietors’ equity (line 12)</t>
  </si>
  <si>
    <t xml:space="preserve">Corporate and financial business at market-implied value (line 13)</t>
  </si>
  <si>
    <t xml:space="preserve">Federal government structures, equipment, IP; land excluded (line 16)</t>
  </si>
  <si>
    <t xml:space="preserve">State and local government structures, equipment, IP; land excluded (line 20)</t>
  </si>
  <si>
    <t xml:space="preserve">Net U.S. financial claims on the rest of the world (line 24)</t>
  </si>
  <si>
    <t xml:space="preserve">U.S. net wealth, as published (sum of the seven lines above)</t>
  </si>
  <si>
    <t xml:space="preserve">Memo: household net worth, same release (line 34)</t>
  </si>
  <si>
    <t xml:space="preserve">January 9, 2026 release ($ billions, 2025 Q3), the latest with full line detail. The headline official figure at B36 above is the June 11, 2026 release for 2026 Q1 (166,680.6); same construction, later quarter.</t>
  </si>
  <si>
    <t xml:space="preserve">Why household net worth is larger than the nation’s wealth</t>
  </si>
  <si>
    <t xml:space="preserve">Household net worth (181,632) is bigger than U.S. net wealth (166,797) because households count the IOUs they hold, and the nation nets them out. The largest IOU is government debt: a Treasury bond is savings to the family that owns it, but there is no building or business behind it, only the promise of future taxes, so it adds nothing to the country’s wealth. Each dollar the government borrows makes households richer on paper without making the nation richer.</t>
  </si>
  <si>
    <t xml:space="preserve">The Federal Debt in Context</t>
  </si>
  <si>
    <t xml:space="preserve">$ billions. Debt: MSPD, June 30, 2026. Gross debt is the primary measure; held by public secondary.</t>
  </si>
  <si>
    <t xml:space="preserve">Debt measures</t>
  </si>
  <si>
    <t xml:space="preserve">Debt held by the public</t>
  </si>
  <si>
    <t xml:space="preserve">Intragovernmental holdings</t>
  </si>
  <si>
    <t xml:space="preserve">Gross federal debt</t>
  </si>
  <si>
    <t xml:space="preserve">Denominators</t>
  </si>
  <si>
    <t xml:space="preserve">Fed Z.1 B.1 official U.S. net wealth</t>
  </si>
  <si>
    <t xml:space="preserve">U.S. private net wealth, build-up method</t>
  </si>
  <si>
    <t xml:space="preserve">Household net worth as published (Z.1)</t>
  </si>
  <si>
    <t xml:space="preserve">Nominal GDP, implied from Z.1 ratio (81,900/2.57)</t>
  </si>
  <si>
    <t xml:space="preserve">M2 money stock (M2SL, May 2026; pre-restatement vintage)</t>
  </si>
  <si>
    <t xml:space="preserve">Federal receipts, FY2025 (MTS Table 9, exact)</t>
  </si>
  <si>
    <t xml:space="preserve">Total U.S. domestic nonfinancial debt, all sectors (Z.1)</t>
  </si>
  <si>
    <t xml:space="preserve">Ratios</t>
  </si>
  <si>
    <t xml:space="preserve">Gross</t>
  </si>
  <si>
    <t xml:space="preserve">Held by public</t>
  </si>
  <si>
    <t xml:space="preserve">Debt as % of official U.S. net wealth (Fed B.1)</t>
  </si>
  <si>
    <t xml:space="preserve">Debt as % of U.S. private net wealth (build-up)</t>
  </si>
  <si>
    <t xml:space="preserve">Debt as % of household net worth (published)</t>
  </si>
  <si>
    <t xml:space="preserve">Debt as % of GDP</t>
  </si>
  <si>
    <t xml:space="preserve">Debt vs. M2: more debt than money (multiple)</t>
  </si>
  <si>
    <t xml:space="preserve">Debt as multiple of annual federal receipts</t>
  </si>
  <si>
    <t xml:space="preserve">Federal share of all U.S. nonfinancial debt (Z.1 basis)</t>
  </si>
  <si>
    <t xml:space="preserve">Three measures of the federal debt, reconciled:</t>
  </si>
  <si>
    <t xml:space="preserve">Debt held by the public (Treasury, face value)</t>
  </si>
  <si>
    <t xml:space="preserve">Z.1 federal debt: adds approx. $3.7T of GAS held by federal employee retirement funds (classified as household pension assets in Z.1) and carries marketables at market value</t>
  </si>
  <si>
    <t xml:space="preserve">Gross federal debt (adds all remaining intragovernmental holdings)</t>
  </si>
  <si>
    <t xml:space="preserve">Chart data</t>
  </si>
  <si>
    <t xml:space="preserve">Debt held by public</t>
  </si>
  <si>
    <t xml:space="preserve">Annual federal receipts (FY2025)</t>
  </si>
  <si>
    <t xml:space="preserve">M2 money stock</t>
  </si>
  <si>
    <t xml:space="preserve">GDP (implied)</t>
  </si>
  <si>
    <t xml:space="preserve">Official U.S. net wealth (Fed B.1)</t>
  </si>
  <si>
    <t xml:space="preserve">Household net worth (published)</t>
  </si>
  <si>
    <t xml:space="preserve">Gross federal debt: one concept, three bases (bridge)</t>
  </si>
  <si>
    <t xml:space="preserve">OMB Historical Table 7.1, FY2025 year-end (budget basis)</t>
  </si>
  <si>
    <t xml:space="preserve">September 30, 2025. Par less unamortized discount; the basis behind P&amp;L History.</t>
  </si>
  <si>
    <t xml:space="preserve">Treasury GFDEBTN, FY2025 fiscal year-end</t>
  </si>
  <si>
    <t xml:space="preserve">September 30, 2025. Treasury Bulletin basis; drives Historical Data and Growth Comparison.</t>
  </si>
  <si>
    <t xml:space="preserve">Basis gap at September 30, 2025</t>
  </si>
  <si>
    <t xml:space="preserve">Measurement basis only: unamortized discounts and premiums and small coverage differences.</t>
  </si>
  <si>
    <t xml:space="preserve">Treasury MSPD, June 30, 2026 (this tab)</t>
  </si>
  <si>
    <t xml:space="preserve">Same Treasury basis family as GFDEBTN, nine months later; drives this tab.</t>
  </si>
  <si>
    <t xml:space="preserve">Net new borrowing, October 1, 2025 to June 30, 2026</t>
  </si>
  <si>
    <t xml:space="preserve">Date difference, not basis: change in total public debt outstanding over the period.</t>
  </si>
  <si>
    <t xml:space="preserve">Each figure is correct on its own date and basis. Never compute a growth rate across two different bases.</t>
  </si>
  <si>
    <t xml:space="preserve">US Profit Breakdown</t>
  </si>
  <si>
    <t xml:space="preserve">$ billions, annualized. NIPA: Q1 2026 SAAR. S&amp;P: trailing four quarters through Q3 2025 (S&amp;P DJI file). Periods differ; shares are approximate.</t>
  </si>
  <si>
    <t xml:space="preserve">NIPA corporate profits after tax (all C and S corporations)</t>
  </si>
  <si>
    <t xml:space="preserve">S&amp;P 500 aggregate earnings, as-reported (GAAP), TTM Q3 2025</t>
  </si>
  <si>
    <t xml:space="preserve">Other publicly traded companies (ESTIMATE)</t>
  </si>
  <si>
    <t xml:space="preserve">Implied private C-corp and S-corp residual (derived)</t>
  </si>
  <si>
    <t xml:space="preserve">All publicly traded (S&amp;P + other public)</t>
  </si>
  <si>
    <t xml:space="preserve">Estimate basis: Russell 3000 covers approx. 98% of investable public market (2,998 holdings, P/E ex-neg 26.62 at 6/30/26); FTSE does not publish total index cap, so non-S&amp;P public earnings are estimated at roughly $300B and flagged. Definitional note: NIPA profits from current production differ from GAAP index earnings (inventory and depreciation adjustments, no goodwill write-offs); NIPA also includes rest-of-world profits of U.S. corporations.</t>
  </si>
  <si>
    <t xml:space="preserve">Market values (Z.1, Q1 2026)</t>
  </si>
  <si>
    <t xml:space="preserve">All U.S. corporate equity, domestic issues at market</t>
  </si>
  <si>
    <t xml:space="preserve">   of which publicly traded nonfinancial</t>
  </si>
  <si>
    <t xml:space="preserve">   of which closely held nonfinancial</t>
  </si>
  <si>
    <t xml:space="preserve">   of which financial corporations</t>
  </si>
  <si>
    <t xml:space="preserve">Memo: S&amp;P 500 market value, 12/31/25 (S&amp;P DJI)</t>
  </si>
  <si>
    <t xml:space="preserve">Valuation Breakdown</t>
  </si>
  <si>
    <t xml:space="preserve">$ billions. Segment-by-segment valuation of all U.S. business. Blue cells are observed market values or published multiples; change them to experiment. Every total ties to the Fed's Z.1.</t>
  </si>
  <si>
    <t xml:space="preserve">Segment</t>
  </si>
  <si>
    <t xml:space="preserve">Earnings</t>
  </si>
  <si>
    <t xml:space="preserve">Value</t>
  </si>
  <si>
    <t xml:space="preserve">Implied multiple</t>
  </si>
  <si>
    <t xml:space="preserve">S&amp;P 500 (as-reported TTM; market value 12/31/25, S&amp;P DJI)</t>
  </si>
  <si>
    <t xml:space="preserve">Other publicly traded (earnings est.; multiple = Russell 3000 P/E ex-neg)</t>
  </si>
  <si>
    <t xml:space="preserve">Private C-corps and S-corps (value = Z.1 corporate total less public segments)</t>
  </si>
  <si>
    <t xml:space="preserve">Noncorporate business (proprietors + rental income; value = Z.1 household equity in noncorporate business)</t>
  </si>
  <si>
    <t xml:space="preserve">All U.S. business</t>
  </si>
  <si>
    <t xml:space="preserve">Tie-outs (each should read zero)</t>
  </si>
  <si>
    <t xml:space="preserve">Total earnings vs. US Balance Sheet B8 (national business income)</t>
  </si>
  <si>
    <t xml:space="preserve">Total value vs. US Balance Sheet B40 (Z.1 market value of all business equity)</t>
  </si>
  <si>
    <t xml:space="preserve">Blended multiple vs. US Balance Sheet B41 (market-implied multiple)</t>
  </si>
  <si>
    <t xml:space="preserve">Reading: the S&amp;P trades near 29x GAAP earnings, yet all of American business blends to about 15x. Two reasons: private businesses change hands at lower multiples, and proprietors' income embeds the owner's own labor, so pass-through "multiples" (about 5x here) are not comparable to corporate P/Es. The anchor diagram's 15.1x is this blend, not an assumption.</t>
  </si>
  <si>
    <t xml:space="preserve">Experiment: change the blue market values or multiples; the private residual (C7), the blend (D10), and every downstream ratio recompute. Nonzero tie-outs mean you have priced business differently from the market.</t>
  </si>
  <si>
    <t xml:space="preserve">U.S. Business Equity: The Components Behind $108.5T and the 15.1x Blend</t>
  </si>
  <si>
    <t xml:space="preserve">$ billions. Presentation view: every cell is a link to US Balance Sheet, Valuation Blend, or Profit Decomposition. Edit inputs on those tabs, not here.</t>
  </si>
  <si>
    <t xml:space="preserve">Total capitalizable business income</t>
  </si>
  <si>
    <t xml:space="preserve">Step 2: Value by segment (from Valuation Blend)</t>
  </si>
  <si>
    <t xml:space="preserve">% of earnings</t>
  </si>
  <si>
    <t xml:space="preserve">% of value</t>
  </si>
  <si>
    <t xml:space="preserve">S&amp;P 500 (as-reported TTM Q3 2025; market value 12/31/25, S&amp;P DJI)</t>
  </si>
  <si>
    <t xml:space="preserve">Other publicly traded (earnings ESTIMATE; multiple = Russell 3000 P/E ex-neg)</t>
  </si>
  <si>
    <t xml:space="preserve">Private C-corps and S-corps (residual earnings; value = Z.1 corporate total less public segments)</t>
  </si>
  <si>
    <t xml:space="preserve">Memo: Z.1 market value of U.S. corporate equity, domestic issues (Profit Decomposition)</t>
  </si>
  <si>
    <t xml:space="preserve">Segment earnings vs. national business income (Step 1)</t>
  </si>
  <si>
    <t xml:space="preserve">Segment value vs. US Balance Sheet B40 (Z.1 market value of all business equity)</t>
  </si>
  <si>
    <t xml:space="preserve">Reading: the S&amp;P trades near 29x GAAP earnings, yet all of American business blends to about 15x. Two reasons: private businesses change hands at lower multiples, and proprietors' income embeds the owner's own labor, so pass-through "multiples" (about 5x here) are not comparable to corporate P/Es. The 15.1x on the page's anchor chart is this blend, not an assumption.</t>
  </si>
  <si>
    <t xml:space="preserve">U.S. Net Wealth: Build-Up at Market and Reconciliation to the Fed's B.1</t>
  </si>
  <si>
    <t xml:space="preserve">$ billions, Q1 2026. Presentation view of the US Balance Sheet tab: business equity at market, plus directly held household real assets, overlaps removed.</t>
  </si>
  <si>
    <t xml:space="preserve">Build-up at market values</t>
  </si>
  <si>
    <t xml:space="preserve">Market value of all U.S. business equity (corporate domestic issues + noncorporate)</t>
  </si>
  <si>
    <t xml:space="preserve">Reconciliation to the official measure</t>
  </si>
  <si>
    <t xml:space="preserve">Gap as % of official</t>
  </si>
  <si>
    <t xml:space="preserve">Memo: net foreign claims on the U.S. (Z.1, Q1 2026), which B.1 subtracts and this build-up omits</t>
  </si>
  <si>
    <t xml:space="preserve">Reading: at the market-implied multiple the build-up lands within about 2% of the Fed's official figure. The remaining wedges: B.1 subtracts net foreign claims on the U.S. and adds government nonfinancial assets, neither of which this build-up carries.</t>
  </si>
  <si>
    <t xml:space="preserve">The claim against it</t>
  </si>
  <si>
    <t xml:space="preserve">Debt held by the public (MSPD, 6/30/26)</t>
  </si>
  <si>
    <t xml:space="preserve">Intragovernmental holdings (MSPD, 6/30/26)</t>
  </si>
  <si>
    <t xml:space="preserve">Gross federal debt as % of official U.S. net wealth</t>
  </si>
  <si>
    <t xml:space="preserve">Gross federal debt as % of household net worth</t>
  </si>
  <si>
    <t xml:space="preserve">Memo: household net worth as published (Z.1)</t>
  </si>
  <si>
    <t xml:space="preserve">Build-up vs. US Balance Sheet B42 (build-up recomputed at the market-implied multiple)</t>
  </si>
  <si>
    <t xml:space="preserve">Gross debt vs. Debt Comparisons B7</t>
  </si>
  <si>
    <t xml:space="preserve">Debt / net wealth vs. Debt Comparisons B19</t>
  </si>
  <si>
    <t xml:space="preserve">Debt / household net worth vs. Debt Comparisons B21</t>
  </si>
  <si>
    <t xml:space="preserve">Overlaps deliberately excluded from the build-up (claims on value already counted above):</t>
  </si>
  <si>
    <t xml:space="preserve">US Business Income Statement and Leverage, CY2025</t>
  </si>
  <si>
    <t xml:space="preserve">$ billions. BEA NIPA Table 1.14 (via FRED, May 28, 2026 vintage), calendar year 2025. Debt: Z.1, Q1 2026.</t>
  </si>
  <si>
    <t xml:space="preserve">Gross value added of corporate business ("revenue net of purchased inputs")</t>
  </si>
  <si>
    <t xml:space="preserve">Less: compensation of employees</t>
  </si>
  <si>
    <t xml:space="preserve">Less: taxes on production and imports, less subsidies</t>
  </si>
  <si>
    <t xml:space="preserve">Gross operating surplus ("EBITDA" of all U.S. corporations)</t>
  </si>
  <si>
    <t xml:space="preserve">Less: consumption of fixed capital (economic depreciation)</t>
  </si>
  <si>
    <t xml:space="preserve">Net operating surplus</t>
  </si>
  <si>
    <t xml:space="preserve">Check: published net operating surplus (W322)</t>
  </si>
  <si>
    <t xml:space="preserve">Less: net interest and miscellaneous payments</t>
  </si>
  <si>
    <t xml:space="preserve">Less: business current transfer payments</t>
  </si>
  <si>
    <t xml:space="preserve">Corporate profits before tax (with IVA and CCAdj)</t>
  </si>
  <si>
    <t xml:space="preserve">Less: taxes on corporate income</t>
  </si>
  <si>
    <t xml:space="preserve">Corporate profits after tax (with IVA and CCAdj)</t>
  </si>
  <si>
    <t xml:space="preserve">Leverage metrics</t>
  </si>
  <si>
    <t xml:space="preserve">Corporate debt: debt securities and loans (Z.1, exact)</t>
  </si>
  <si>
    <t xml:space="preserve">Debt / EBITDA</t>
  </si>
  <si>
    <t xml:space="preserve">Debt / gross value added</t>
  </si>
  <si>
    <t xml:space="preserve">EBITDA / net interest coverage</t>
  </si>
  <si>
    <t xml:space="preserve">Key observations: aggregate corporate debt/EBITDA of about 2.2x is far below typical single-asset CRE leverage. Net interest paid of $43.8B against $14.5T of debt means interest received nearly offsets interest paid; in aggregate, corporate America is almost unlevered on a net basis. Note the measure is NET interest (interest and miscellaneous payments less receipts); gross interest expense is far larger, so coverage on a gross basis, while still high, is not 150x.</t>
  </si>
  <si>
    <t xml:space="preserve">Basis note: profits here carry inventory valuation and capital consumption adjustments (CY2025 annual); the CP series used on other tabs is without those adjustments (Q1 2026 SAAR). The two differ by design, not error.</t>
  </si>
  <si>
    <t xml:space="preserve">The Federal Government as a Business, FY2025</t>
  </si>
  <si>
    <t xml:space="preserve">$ billions. Final MTS FY2025, Table 9, net outlays by function (exact). Ten-year history pending MTS archive pulls.</t>
  </si>
  <si>
    <t xml:space="preserve">Revenue (total receipts)</t>
  </si>
  <si>
    <t xml:space="preserve">Operating expenses by function</t>
  </si>
  <si>
    <t xml:space="preserve">% of revenue</t>
  </si>
  <si>
    <t xml:space="preserve">Social Security</t>
  </si>
  <si>
    <t xml:space="preserve">Medicare</t>
  </si>
  <si>
    <t xml:space="preserve">Health, incl. Medicaid</t>
  </si>
  <si>
    <t xml:space="preserve">National defense</t>
  </si>
  <si>
    <t xml:space="preserve">Income security</t>
  </si>
  <si>
    <t xml:space="preserve">Veterans benefits and services</t>
  </si>
  <si>
    <t xml:space="preserve">All other functions, net (residual)</t>
  </si>
  <si>
    <t xml:space="preserve">Total operating expenses (outlays less net interest)</t>
  </si>
  <si>
    <t xml:space="preserve">Memo: total outlays</t>
  </si>
  <si>
    <t xml:space="preserve">Memo: net interest (debt service, function basis)</t>
  </si>
  <si>
    <t xml:space="preserve">Net operating income before debt service (primary balance)</t>
  </si>
  <si>
    <t xml:space="preserve">Less: debt service (net interest)</t>
  </si>
  <si>
    <t xml:space="preserve">Net income (surplus / deficit)</t>
  </si>
  <si>
    <t xml:space="preserve">Margins</t>
  </si>
  <si>
    <t xml:space="preserve">Operating margin before debt service</t>
  </si>
  <si>
    <t xml:space="preserve">Net margin</t>
  </si>
  <si>
    <t xml:space="preserve">Debt service as % of revenue</t>
  </si>
  <si>
    <t xml:space="preserve">Social Security + Medicare + Health as % of revenue</t>
  </si>
  <si>
    <t xml:space="preserve">Reading: the enterprise loses money before the mortgage payment. CBO's alternative measure, net interest on the public debt, exceeded $1,000B in FY2025; Table 9's function basis is $970.4B.</t>
  </si>
  <si>
    <t xml:space="preserve">The Federal P&amp;L, FY1996-FY2025</t>
  </si>
  <si>
    <t xml:space="preserve">$ billions. OMB Historical Tables 1.1 and 3.1, FY2027 Budget edition (actuals only). FY2025 ties to MTS within $2B (OMB/MTS concept differences).</t>
  </si>
  <si>
    <t xml:space="preserve">FY1995 debt held by public (opening balance for the FY1996 average):</t>
  </si>
  <si>
    <t xml:space="preserve">Fiscal year</t>
  </si>
  <si>
    <t xml:space="preserve">Receipts</t>
  </si>
  <si>
    <t xml:space="preserve">Outlays</t>
  </si>
  <si>
    <t xml:space="preserve">Net interest</t>
  </si>
  <si>
    <t xml:space="preserve">Operating expenses</t>
  </si>
  <si>
    <t xml:space="preserve">Primary balance</t>
  </si>
  <si>
    <t xml:space="preserve">Net income</t>
  </si>
  <si>
    <t xml:space="preserve">Operating margin</t>
  </si>
  <si>
    <t xml:space="preserve">Interest % of revenue</t>
  </si>
  <si>
    <t xml:space="preserve">Debt held by public, FY-end</t>
  </si>
  <si>
    <t xml:space="preserve">Intragovernmental holdings, FY-end</t>
  </si>
  <si>
    <t xml:space="preserve">Total debt, incl. intragovernmental</t>
  </si>
  <si>
    <t xml:space="preserve">Average debt held by public</t>
  </si>
  <si>
    <t xml:space="preserve">Effective rate on the debt</t>
  </si>
  <si>
    <t xml:space="preserve">10-year Treasury, FY avg</t>
  </si>
  <si>
    <t xml:space="preserve">Key observations: the government ran a positive primary balance every year FY1996-FY2001 and outright surpluses FY1998-FY2001; the last positive operating margin before debt service was FY2007 aside from a near-miss in FY2015. Net interest was flat near $200-250B for two decades on falling rates despite rising debt, then quadrupled in a decade as rates normalized: the debt was always large, but the rate environment concealed the carry cost.</t>
  </si>
  <si>
    <t xml:space="preserve">Total debt (column M) = debt held by the public plus intragovernmental holdings, the same gross measure the section leads with. Both components are OMB Table 7.1 fiscal year-end actuals. Net interest (column D) is paid on the held-by-public share only, which is why the effective rate divides by average held-by-public, not by total debt.</t>
  </si>
  <si>
    <t xml:space="preserve">Effective rate on the debt = net interest (OMB 3.1) divided by average debt held by the public (OMB 7.1, average of the current and prior fiscal year-end). Net interest is paid on the debt held by the public; interest credited to trust funds on intragovernmental holdings is an internal transfer and nets out of the budget. The 10-year Treasury yield (GS10, monthly, averaged October through September to match the fiscal year) is the market rate for comparison.</t>
  </si>
  <si>
    <t xml:space="preserve">Reading: the effective rate lags the market rate in both directions because the debt reprices only as securities mature. It fell from roughly 6.4% in FY1996 to roughly 1.6% in FY2021 and has since climbed back above 3%, while the average maturity means further repricing is already contracted even if market rates never move again.</t>
  </si>
  <si>
    <t xml:space="preserve">Receipts vs. outlays chart: bars stack operating expenses (outlays less net interest) and net interest to total outlays; the navy line is receipts; the vertical gap is the deficit or surplus. Dashed line: net interest as % of receipts (right axis). Sources: OMB Historical Tables 1.1 and 3.1.</t>
  </si>
  <si>
    <t xml:space="preserve">Intragovernmental Debt</t>
  </si>
  <si>
    <t xml:space="preserve">$ billions. MSPD June 30, 2026, Tables I and III (exact fund-level Government Account Series holdings).</t>
  </si>
  <si>
    <t xml:space="preserve">Fund</t>
  </si>
  <si>
    <t xml:space="preserve">Holdings</t>
  </si>
  <si>
    <t xml:space="preserve">Chart label</t>
  </si>
  <si>
    <t xml:space="preserve">Social Security: Old-Age &amp; Survivors (OASI)</t>
  </si>
  <si>
    <t xml:space="preserve">Military Retirement Fund</t>
  </si>
  <si>
    <t xml:space="preserve">Civil Service Retirement &amp; Disability Fund</t>
  </si>
  <si>
    <t xml:space="preserve">DoD Medicare-Eligible Retiree Health Care Fund</t>
  </si>
  <si>
    <t xml:space="preserve">Medicare Hospital Insurance (HI)</t>
  </si>
  <si>
    <t xml:space="preserve">Social Security: Disability Insurance (DI)</t>
  </si>
  <si>
    <t xml:space="preserve">FHA Mutual Mortgage Insurance Fund</t>
  </si>
  <si>
    <t xml:space="preserve">Medicare Supplementary Medical Insurance (SMI)</t>
  </si>
  <si>
    <t xml:space="preserve">All other funds and instruments (residual)</t>
  </si>
  <si>
    <t xml:space="preserve">Total intragovernmental holdings</t>
  </si>
  <si>
    <t xml:space="preserve">Social Security (OASI + DI) holds $2,522.0B; Medicare (HI + SMI) holds $469.3B; military and civil service retirement together hold $3,718.1B, now nearly 48% of the total. The TSP G Fund ($356.9B) is Government Account Series debt classified as held by the public, since its beneficiaries are individuals.</t>
  </si>
  <si>
    <t xml:space="preserve">Mechanism: past trust fund surpluses were lent to Treasury for nonmarketable Government Account Series securities, redeemable on demand at par; interest is credited in additional securities, not cash. When a program runs a cash deficit it redeems securities, and Treasury raises the cash by borrowing from the public: public debt on a delay.</t>
  </si>
  <si>
    <t xml:space="preserve">Household Balance Sheet, Full Component Breakdown</t>
  </si>
  <si>
    <t xml:space="preserve">$ billions, Q1 2026. Z.1 June 11, 2026 release, condensed household balance sheet (households and nonprofits); exact net worth per Table S1.b memo.</t>
  </si>
  <si>
    <t xml:space="preserve">Assets</t>
  </si>
  <si>
    <t xml:space="preserve">Nonfinancial assets</t>
  </si>
  <si>
    <t xml:space="preserve">   Owner-occupied real estate</t>
  </si>
  <si>
    <t xml:space="preserve">   Other nonfinancial assets (consumer durables, nonprofit fixed assets)</t>
  </si>
  <si>
    <t xml:space="preserve">Financial assets</t>
  </si>
  <si>
    <t xml:space="preserve">   Deposits and money market funds</t>
  </si>
  <si>
    <t xml:space="preserve">   Debt securities (direct and indirect, incl. Treasuries)</t>
  </si>
  <si>
    <t xml:space="preserve">   Corporate equities (direct and indirect)</t>
  </si>
  <si>
    <t xml:space="preserve">   Equity in noncorporate business</t>
  </si>
  <si>
    <t xml:space="preserve">   Defined benefit pension entitlements</t>
  </si>
  <si>
    <t xml:space="preserve">   Other financial assets</t>
  </si>
  <si>
    <t xml:space="preserve">Liabilities</t>
  </si>
  <si>
    <t xml:space="preserve">   One-to-four-family residential mortgages</t>
  </si>
  <si>
    <t xml:space="preserve">   Consumer credit</t>
  </si>
  <si>
    <t xml:space="preserve">   Other liabilities</t>
  </si>
  <si>
    <t xml:space="preserve">Net worth (components, rounded)</t>
  </si>
  <si>
    <t xml:space="preserve">Published net worth, exact (Z.1 S1.b)</t>
  </si>
  <si>
    <t xml:space="preserve">Overlap map for the build-up method: rows 11, 12, and 13 are claims on value counted via capitalized business income; row 14 is largely claims on securities already excluded.</t>
  </si>
  <si>
    <t xml:space="preserve">Debt by Borrowing Sector</t>
  </si>
  <si>
    <t xml:space="preserve">$ billions. Fed Z.1 Financial Accounts via FRED (June 11, 2026 release, Q1 2026); federal = Treasury debt held by the public (FYGFDPUN); GDP = BEA nominal, SAAR. Financial-sector and foreign debt excluded: financial borrowing funds lending already counted at the borrowing sector.</t>
  </si>
  <si>
    <t xml:space="preserve">Quarterly series, Q1 1996 to Q1 2026</t>
  </si>
  <si>
    <t xml:space="preserve">Quarter</t>
  </si>
  <si>
    <t xml:space="preserve">Year</t>
  </si>
  <si>
    <t xml:space="preserve">Federal (held by public)</t>
  </si>
  <si>
    <t xml:space="preserve">Household</t>
  </si>
  <si>
    <t xml:space="preserve">Business, total</t>
  </si>
  <si>
    <t xml:space="preserve">of which corporate</t>
  </si>
  <si>
    <t xml:space="preserve">of which noncorporate</t>
  </si>
  <si>
    <t xml:space="preserve">State &amp; local</t>
  </si>
  <si>
    <t xml:space="preserve">Sum of sectors</t>
  </si>
  <si>
    <t xml:space="preserve">Z.1 domestic nonfinancial total</t>
  </si>
  <si>
    <t xml:space="preserve">Residual: Z.1 federal less Treasury</t>
  </si>
  <si>
    <t xml:space="preserve">GDP</t>
  </si>
  <si>
    <t xml:space="preserve">Federal % GDP</t>
  </si>
  <si>
    <t xml:space="preserve">Household % GDP</t>
  </si>
  <si>
    <t xml:space="preserve">Business % GDP</t>
  </si>
  <si>
    <t xml:space="preserve">State &amp; local % GDP</t>
  </si>
  <si>
    <t xml:space="preserve">Gross federal % GDP</t>
  </si>
  <si>
    <t xml:space="preserve">Total debt % GDP</t>
  </si>
  <si>
    <t xml:space="preserve">1996 Q1</t>
  </si>
  <si>
    <t xml:space="preserve">1996 Q2</t>
  </si>
  <si>
    <t xml:space="preserve">1996 Q3</t>
  </si>
  <si>
    <t xml:space="preserve">1996 Q4</t>
  </si>
  <si>
    <t xml:space="preserve">1997 Q1</t>
  </si>
  <si>
    <t xml:space="preserve">1997 Q2</t>
  </si>
  <si>
    <t xml:space="preserve">1997 Q3</t>
  </si>
  <si>
    <t xml:space="preserve">1997 Q4</t>
  </si>
  <si>
    <t xml:space="preserve">1998 Q1</t>
  </si>
  <si>
    <t xml:space="preserve">1998 Q2</t>
  </si>
  <si>
    <t xml:space="preserve">1998 Q3</t>
  </si>
  <si>
    <t xml:space="preserve">1998 Q4</t>
  </si>
  <si>
    <t xml:space="preserve">1999 Q1</t>
  </si>
  <si>
    <t xml:space="preserve">1999 Q2</t>
  </si>
  <si>
    <t xml:space="preserve">1999 Q3</t>
  </si>
  <si>
    <t xml:space="preserve">1999 Q4</t>
  </si>
  <si>
    <t xml:space="preserve">2000 Q1</t>
  </si>
  <si>
    <t xml:space="preserve">2000 Q2</t>
  </si>
  <si>
    <t xml:space="preserve">2000 Q3</t>
  </si>
  <si>
    <t xml:space="preserve">2000 Q4</t>
  </si>
  <si>
    <t xml:space="preserve">2001 Q1</t>
  </si>
  <si>
    <t xml:space="preserve">2001 Q2</t>
  </si>
  <si>
    <t xml:space="preserve">2001 Q3</t>
  </si>
  <si>
    <t xml:space="preserve">2001 Q4</t>
  </si>
  <si>
    <t xml:space="preserve">2002 Q1</t>
  </si>
  <si>
    <t xml:space="preserve">2002 Q2</t>
  </si>
  <si>
    <t xml:space="preserve">2002 Q3</t>
  </si>
  <si>
    <t xml:space="preserve">2002 Q4</t>
  </si>
  <si>
    <t xml:space="preserve">2003 Q1</t>
  </si>
  <si>
    <t xml:space="preserve">2003 Q2</t>
  </si>
  <si>
    <t xml:space="preserve">2003 Q3</t>
  </si>
  <si>
    <t xml:space="preserve">2003 Q4</t>
  </si>
  <si>
    <t xml:space="preserve">2004 Q1</t>
  </si>
  <si>
    <t xml:space="preserve">2004 Q2</t>
  </si>
  <si>
    <t xml:space="preserve">2004 Q3</t>
  </si>
  <si>
    <t xml:space="preserve">2004 Q4</t>
  </si>
  <si>
    <t xml:space="preserve">2005 Q1</t>
  </si>
  <si>
    <t xml:space="preserve">2005 Q2</t>
  </si>
  <si>
    <t xml:space="preserve">2005 Q3</t>
  </si>
  <si>
    <t xml:space="preserve">2005 Q4</t>
  </si>
  <si>
    <t xml:space="preserve">2006 Q1</t>
  </si>
  <si>
    <t xml:space="preserve">2006 Q2</t>
  </si>
  <si>
    <t xml:space="preserve">2006 Q3</t>
  </si>
  <si>
    <t xml:space="preserve">2006 Q4</t>
  </si>
  <si>
    <t xml:space="preserve">2007 Q1</t>
  </si>
  <si>
    <t xml:space="preserve">2007 Q2</t>
  </si>
  <si>
    <t xml:space="preserve">2007 Q3</t>
  </si>
  <si>
    <t xml:space="preserve">2007 Q4</t>
  </si>
  <si>
    <t xml:space="preserve">2008 Q1</t>
  </si>
  <si>
    <t xml:space="preserve">2008 Q2</t>
  </si>
  <si>
    <t xml:space="preserve">2008 Q3</t>
  </si>
  <si>
    <t xml:space="preserve">2008 Q4</t>
  </si>
  <si>
    <t xml:space="preserve">2009 Q1</t>
  </si>
  <si>
    <t xml:space="preserve">2009 Q2</t>
  </si>
  <si>
    <t xml:space="preserve">2009 Q3</t>
  </si>
  <si>
    <t xml:space="preserve">2009 Q4</t>
  </si>
  <si>
    <t xml:space="preserve">2010 Q1</t>
  </si>
  <si>
    <t xml:space="preserve">2010 Q2</t>
  </si>
  <si>
    <t xml:space="preserve">2010 Q3</t>
  </si>
  <si>
    <t xml:space="preserve">2010 Q4</t>
  </si>
  <si>
    <t xml:space="preserve">2011 Q1</t>
  </si>
  <si>
    <t xml:space="preserve">2011 Q2</t>
  </si>
  <si>
    <t xml:space="preserve">2011 Q3</t>
  </si>
  <si>
    <t xml:space="preserve">2011 Q4</t>
  </si>
  <si>
    <t xml:space="preserve">2012 Q1</t>
  </si>
  <si>
    <t xml:space="preserve">2012 Q2</t>
  </si>
  <si>
    <t xml:space="preserve">2012 Q3</t>
  </si>
  <si>
    <t xml:space="preserve">2012 Q4</t>
  </si>
  <si>
    <t xml:space="preserve">2013 Q1</t>
  </si>
  <si>
    <t xml:space="preserve">2013 Q2</t>
  </si>
  <si>
    <t xml:space="preserve">2013 Q3</t>
  </si>
  <si>
    <t xml:space="preserve">2013 Q4</t>
  </si>
  <si>
    <t xml:space="preserve">2014 Q1</t>
  </si>
  <si>
    <t xml:space="preserve">2014 Q2</t>
  </si>
  <si>
    <t xml:space="preserve">2014 Q3</t>
  </si>
  <si>
    <t xml:space="preserve">2014 Q4</t>
  </si>
  <si>
    <t xml:space="preserve">2015 Q1</t>
  </si>
  <si>
    <t xml:space="preserve">2015 Q2</t>
  </si>
  <si>
    <t xml:space="preserve">2015 Q3</t>
  </si>
  <si>
    <t xml:space="preserve">2015 Q4</t>
  </si>
  <si>
    <t xml:space="preserve">2016 Q1</t>
  </si>
  <si>
    <t xml:space="preserve">2016 Q2</t>
  </si>
  <si>
    <t xml:space="preserve">2016 Q3</t>
  </si>
  <si>
    <t xml:space="preserve">2016 Q4</t>
  </si>
  <si>
    <t xml:space="preserve">2017 Q1</t>
  </si>
  <si>
    <t xml:space="preserve">2017 Q2</t>
  </si>
  <si>
    <t xml:space="preserve">2017 Q3</t>
  </si>
  <si>
    <t xml:space="preserve">2017 Q4</t>
  </si>
  <si>
    <t xml:space="preserve">2018 Q1</t>
  </si>
  <si>
    <t xml:space="preserve">2018 Q2</t>
  </si>
  <si>
    <t xml:space="preserve">2018 Q3</t>
  </si>
  <si>
    <t xml:space="preserve">2018 Q4</t>
  </si>
  <si>
    <t xml:space="preserve">2019 Q1</t>
  </si>
  <si>
    <t xml:space="preserve">2019 Q2</t>
  </si>
  <si>
    <t xml:space="preserve">2019 Q3</t>
  </si>
  <si>
    <t xml:space="preserve">2019 Q4</t>
  </si>
  <si>
    <t xml:space="preserve">2020 Q1</t>
  </si>
  <si>
    <t xml:space="preserve">2020 Q2</t>
  </si>
  <si>
    <t xml:space="preserve">2020 Q3</t>
  </si>
  <si>
    <t xml:space="preserve">2020 Q4</t>
  </si>
  <si>
    <t xml:space="preserve">2021 Q1</t>
  </si>
  <si>
    <t xml:space="preserve">2021 Q2</t>
  </si>
  <si>
    <t xml:space="preserve">2021 Q3</t>
  </si>
  <si>
    <t xml:space="preserve">2021 Q4</t>
  </si>
  <si>
    <t xml:space="preserve">2022 Q1</t>
  </si>
  <si>
    <t xml:space="preserve">2022 Q2</t>
  </si>
  <si>
    <t xml:space="preserve">2022 Q3</t>
  </si>
  <si>
    <t xml:space="preserve">2022 Q4</t>
  </si>
  <si>
    <t xml:space="preserve">2023 Q1</t>
  </si>
  <si>
    <t xml:space="preserve">2023 Q2</t>
  </si>
  <si>
    <t xml:space="preserve">2023 Q3</t>
  </si>
  <si>
    <t xml:space="preserve">2023 Q4</t>
  </si>
  <si>
    <t xml:space="preserve">2024 Q1</t>
  </si>
  <si>
    <t xml:space="preserve">2024 Q2</t>
  </si>
  <si>
    <t xml:space="preserve">2024 Q3</t>
  </si>
  <si>
    <t xml:space="preserve">2024 Q4</t>
  </si>
  <si>
    <t xml:space="preserve">2025 Q1</t>
  </si>
  <si>
    <t xml:space="preserve">2025 Q2</t>
  </si>
  <si>
    <t xml:space="preserve">2025 Q3</t>
  </si>
  <si>
    <t xml:space="preserve">2025 Q4</t>
  </si>
  <si>
    <t xml:space="preserve">2026 Q1</t>
  </si>
  <si>
    <t xml:space="preserve">Fiscal year-end snapshots (September 30: OMB fiscal year-end = Z.1 Q3 quarter-end)</t>
  </si>
  <si>
    <t xml:space="preserve">FY1996</t>
  </si>
  <si>
    <t xml:space="preserve">FY2005</t>
  </si>
  <si>
    <t xml:space="preserve">FY2015</t>
  </si>
  <si>
    <t xml:space="preserve">Federal debt held by the public (OMB 7.1)</t>
  </si>
  <si>
    <t xml:space="preserve">Intragovernmental holdings (OMB 7.1)</t>
  </si>
  <si>
    <t xml:space="preserve">Business (Z.1 Q3)</t>
  </si>
  <si>
    <t xml:space="preserve">Household (Z.1 Q3)</t>
  </si>
  <si>
    <t xml:space="preserve">State &amp; local (Z.1 Q3)</t>
  </si>
  <si>
    <t xml:space="preserve">Total debt, including intragovernmental</t>
  </si>
  <si>
    <t xml:space="preserve">Check: Treasury quarterly held-by-public series less OMB fiscal year-end</t>
  </si>
  <si>
    <t xml:space="preserve">Key observations: leverage migrated from the private sector to the sovereign. In 1996 household debt was the largest sector at roughly 64% of GDP with federal held-by-public at 48%; by Q1 2026 federal held-by-public reached roughly 99% of GDP while household fell to 66% and business stood at 71%. The federal government now owes more than all U.S. business combined on the held-by-public measure alone, before counting the $7.8T owed to its own trust funds.</t>
  </si>
  <si>
    <t xml:space="preserve">The residual column (K) is the difference between the Z.1 federal debt measure and Treasury held-by-public (approx. $3.0T at Q1 2026): Z.1 counts approx. $3.7T of Government Account Series held by federal employee retirement funds and carries marketables at market value. See the reconciliation box on Debt Comparisons.</t>
  </si>
  <si>
    <t xml:space="preserve">Gross federal debt (column Q, series GFDEBTN) is total public debt outstanding: debt held by the public plus intragovernmental holdings. It ties to OMB Table 7.1 fiscal year-end gross within 0.1% to 0.7% (Treasury daily-basis vs. OMB budget-basis timing). The total column (S) sums gross federal, household, business, and state &amp; local, so it includes the intragovernmental slice.</t>
  </si>
  <si>
    <t xml:space="preserve">Chart data: sector debt as % of GDP at fiscal year-end, five-year intervals</t>
  </si>
  <si>
    <t xml:space="preserve">FY2000</t>
  </si>
  <si>
    <t xml:space="preserve">FY2010</t>
  </si>
  <si>
    <t xml:space="preserve">FY2020</t>
  </si>
  <si>
    <t xml:space="preserve">Federal (gross)</t>
  </si>
  <si>
    <t xml:space="preserve">Business</t>
  </si>
  <si>
    <t xml:space="preserve">Total</t>
  </si>
  <si>
    <t xml:space="preserve">U.S. Federal Debt &amp; Nominal GDP (1960–2025)</t>
  </si>
  <si>
    <t xml:space="preserve">Sources: debt: U.S. Treasury via FRED GFDEBTN at fiscal year-end (1980–2025) and Treasury Historical Debt Outstanding (1960–1975; fiscal years then ended June 30); GDP and real growth: BEA via FRED (GDPA; Table 1.1.1); deficits: Treasury Final MTS. Current vintages as of July 16, 2026.</t>
  </si>
  <si>
    <t xml:space="preserve">Federal Debt
($B, End FY)</t>
  </si>
  <si>
    <t xml:space="preserve">Nominal GDP
($B, CY)</t>
  </si>
  <si>
    <t xml:space="preserve">Debt-to-GDP
Ratio (%)</t>
  </si>
  <si>
    <t xml:space="preserve">Debt
YoY %</t>
  </si>
  <si>
    <t xml:space="preserve">Nominal GDP
YoY %</t>
  </si>
  <si>
    <t xml:space="preserve">Real GDP
Growth %</t>
  </si>
  <si>
    <t xml:space="preserve">Gap: Debt
vs Nom GDP (pp)</t>
  </si>
  <si>
    <t xml:space="preserve">Deficit
($B, FY)</t>
  </si>
  <si>
    <t xml:space="preserve">Debt ($T)</t>
  </si>
  <si>
    <t xml:space="preserve">GDP ($T)</t>
  </si>
  <si>
    <t xml:space="preserve">Vintage: refreshed July 16, 2026 to current published vintages: GFDEBTN (June 18, 2026 update), GDPA (April 9, 2026 vintage), real GDP growth per BEA Table 1.1.1 (March 13, 2026 vintage), FY2025 deficit per Treasury Final MTS FY2025. Restatements from the February 2026 compilation: FY1985–FY2007 debt moved from OMB 7.1 values to GFDEBTN per this tab’s stated source; FY2020 debt corrected to the September 30, 2020 fiscal year-end ($26,945.4B; the prior figure was the December 31, 2020 calendar year-end); GDP and real growth restated to the 2025 NIPA annual update and later vintages. The Debt Comparisons and P&amp;L History tabs carry other bases and dates; see the reconciliation on Debt Comparisons.</t>
  </si>
  <si>
    <t xml:space="preserve">Year spacing is irregular (five-year steps to 2000, annual after), so the chart plots years on a numeric axis rather than as categories; a category axis would space 1960 to 1965 the same as 2000 to 2001.</t>
  </si>
  <si>
    <t xml:space="preserve">Debt Growth vs. Nominal GDP Growth vs. Real GDP Growth (2001–2025)</t>
  </si>
  <si>
    <t xml:space="preserve">Debt is nominal. The correct sustainability comparison is debt growth vs. nominal GDP growth (Blanchard r vs. g framework).</t>
  </si>
  <si>
    <t xml:space="preserve">Federal Debt
($B)</t>
  </si>
  <si>
    <t xml:space="preserve">Nominal GDP
($B)</t>
  </si>
  <si>
    <t xml:space="preserve">Gap vs
Nom GDP (pp)</t>
  </si>
  <si>
    <t xml:space="preserve">Gap vs
Real GDP (pp)</t>
  </si>
  <si>
    <t xml:space="preserve">Reading: in FY2025 debt grew 6.1% against nominal GDP growth of 5.0%, a gap of 1.1 percentage points. Against real GDP growth of 2.1% the gap is 4.0 points. Both comparisons are legitimate; they answer different questions, and the difference between them is inflation.</t>
  </si>
  <si>
    <t xml:space="preserve">Vintage: refreshed July 16, 2026 to current published vintages. See the note on Historical Data.</t>
  </si>
  <si>
    <t xml:space="preserve">Vintage: February 2026 compilation on FY2024 data. See the note on Historical Data.</t>
  </si>
  <si>
    <t xml:space="preserve">Major Foreign Holders of U.S. Treasury Securities, by Region</t>
  </si>
  <si>
    <t xml:space="preserve">$ billions, December year-end. Source: U.S. Treasury, TIC Major Foreign Holders of Treasury Securities (mfhhis01, revised March 18, 2026). Custodial basis: the UK and much of Europe reflect custody domiciles (Euroclear/Belgium, Luxembourg, Ireland), not beneficial ownership. Europe (ex-UK) sums the individually reported European countries; small unreported European holders fall into All other.</t>
  </si>
  <si>
    <t xml:space="preserve">Region ($B)</t>
  </si>
  <si>
    <t xml:space="preserve">Japan</t>
  </si>
  <si>
    <t xml:space="preserve">United Kingdom</t>
  </si>
  <si>
    <t xml:space="preserve">China, Mainland</t>
  </si>
  <si>
    <t xml:space="preserve">Europe (ex-UK)</t>
  </si>
  <si>
    <t xml:space="preserve">All other</t>
  </si>
  <si>
    <t xml:space="preserve">Total foreign</t>
  </si>
  <si>
    <t xml:space="preserve">Cumulative growth since 2000 (%)</t>
  </si>
  <si>
    <t xml:space="preserve">Region</t>
  </si>
</sst>
</file>

<file path=xl/styles.xml><?xml version="1.0" encoding="utf-8"?>
<styleSheet xmlns="http://schemas.openxmlformats.org/spreadsheetml/2006/main">
  <numFmts count="12">
    <numFmt numFmtId="164" formatCode="General"/>
    <numFmt numFmtId="165" formatCode="#,##0.0"/>
    <numFmt numFmtId="166" formatCode="0.0\x"/>
    <numFmt numFmtId="167" formatCode="#,##0"/>
    <numFmt numFmtId="168" formatCode="0.0%"/>
    <numFmt numFmtId="169" formatCode="0.00%"/>
    <numFmt numFmtId="170" formatCode="0.00"/>
    <numFmt numFmtId="171" formatCode="0.0000%"/>
    <numFmt numFmtId="172" formatCode="#,##0\x"/>
    <numFmt numFmtId="173" formatCode="0"/>
    <numFmt numFmtId="174" formatCode="0%"/>
    <numFmt numFmtId="175" formatCode="#,##0\%"/>
  </numFmts>
  <fonts count="20">
    <font>
      <sz val="11"/>
      <color theme="1"/>
      <name val="Calibri"/>
      <family val="2"/>
      <charset val="1"/>
    </font>
    <font>
      <sz val="10"/>
      <name val="Arial"/>
      <family val="0"/>
    </font>
    <font>
      <sz val="10"/>
      <name val="Arial"/>
      <family val="0"/>
    </font>
    <font>
      <sz val="10"/>
      <name val="Arial"/>
      <family val="0"/>
    </font>
    <font>
      <b val="true"/>
      <sz val="13"/>
      <name val="Arial"/>
      <family val="0"/>
      <charset val="1"/>
    </font>
    <font>
      <i val="true"/>
      <sz val="9"/>
      <color rgb="FF555555"/>
      <name val="Arial"/>
      <family val="0"/>
      <charset val="1"/>
    </font>
    <font>
      <b val="true"/>
      <sz val="11"/>
      <name val="Arial"/>
      <family val="0"/>
      <charset val="1"/>
    </font>
    <font>
      <sz val="11"/>
      <name val="Arial"/>
      <family val="0"/>
      <charset val="1"/>
    </font>
    <font>
      <sz val="11"/>
      <color rgb="FF0000FF"/>
      <name val="Arial"/>
      <family val="0"/>
      <charset val="1"/>
    </font>
    <font>
      <sz val="11"/>
      <name val="Arial"/>
      <family val="2"/>
      <charset val="1"/>
    </font>
    <font>
      <b val="true"/>
      <sz val="11"/>
      <name val="Arial"/>
      <family val="2"/>
      <charset val="1"/>
    </font>
    <font>
      <sz val="11"/>
      <color rgb="FF0000FF"/>
      <name val="Arial"/>
      <family val="2"/>
      <charset val="1"/>
    </font>
    <font>
      <u val="single"/>
      <sz val="11"/>
      <color rgb="FF0000FF"/>
      <name val="Arial"/>
      <family val="2"/>
      <charset val="1"/>
    </font>
    <font>
      <b val="true"/>
      <sz val="18"/>
      <color rgb="FF000000"/>
      <name val="Calibri"/>
      <family val="2"/>
    </font>
    <font>
      <sz val="10"/>
      <color rgb="FF000000"/>
      <name val="Calibri"/>
      <family val="2"/>
    </font>
    <font>
      <b val="true"/>
      <sz val="10"/>
      <color rgb="FF000000"/>
      <name val="Calibri"/>
      <family val="2"/>
    </font>
    <font>
      <b val="true"/>
      <sz val="13"/>
      <name val="Arial"/>
      <family val="2"/>
      <charset val="1"/>
    </font>
    <font>
      <sz val="11"/>
      <color rgb="FF0000FF"/>
      <name val="Calibri"/>
      <family val="0"/>
      <charset val="1"/>
    </font>
    <font>
      <sz val="10"/>
      <name val="Arial"/>
      <family val="0"/>
      <charset val="1"/>
    </font>
    <font>
      <i val="true"/>
      <sz val="9"/>
      <color rgb="FF666666"/>
      <name val="Arial"/>
      <family val="0"/>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5" fontId="8" fillId="0" borderId="0" xfId="0" applyFont="true" applyBorder="false" applyAlignment="true" applyProtection="false">
      <alignment horizontal="general" vertical="bottom" textRotation="0" wrapText="false" indent="0" shrinkToFit="false"/>
      <protection locked="true" hidden="false"/>
    </xf>
    <xf numFmtId="165"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bottom" textRotation="0" wrapText="false" indent="0" shrinkToFit="false"/>
      <protection locked="true" hidden="false"/>
    </xf>
    <xf numFmtId="166" fontId="8" fillId="0" borderId="0" xfId="0" applyFont="true" applyBorder="false" applyAlignment="true" applyProtection="false">
      <alignment horizontal="general" vertical="bottom" textRotation="0" wrapText="false" indent="0" shrinkToFit="false"/>
      <protection locked="true" hidden="false"/>
    </xf>
    <xf numFmtId="167" fontId="7" fillId="0" borderId="0" xfId="0" applyFont="true" applyBorder="false" applyAlignment="tru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general" vertical="bottom" textRotation="0" wrapText="false" indent="0" shrinkToFit="false"/>
      <protection locked="true" hidden="false"/>
    </xf>
    <xf numFmtId="167" fontId="6" fillId="0" borderId="0" xfId="0" applyFont="true" applyBorder="false" applyAlignment="true" applyProtection="false">
      <alignment horizontal="general" vertical="bottom" textRotation="0" wrapText="false" indent="0" shrinkToFit="false"/>
      <protection locked="true" hidden="false"/>
    </xf>
    <xf numFmtId="167" fontId="8" fillId="0" borderId="0" xfId="0" applyFont="true" applyBorder="false" applyAlignment="true" applyProtection="false">
      <alignment horizontal="general" vertical="bottom" textRotation="0" wrapText="false" indent="0" shrinkToFit="false"/>
      <protection locked="true" hidden="false"/>
    </xf>
    <xf numFmtId="168" fontId="8"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9" fontId="6" fillId="0" borderId="0" xfId="0" applyFont="true" applyBorder="false" applyAlignment="true" applyProtection="false">
      <alignment horizontal="general" vertical="bottom" textRotation="0" wrapText="false" indent="0" shrinkToFit="false"/>
      <protection locked="true" hidden="false"/>
    </xf>
    <xf numFmtId="166" fontId="6" fillId="0" borderId="0" xfId="0" applyFont="true" applyBorder="false" applyAlignment="true" applyProtection="false">
      <alignment horizontal="general" vertical="bottom" textRotation="0" wrapText="false" indent="0" shrinkToFit="false"/>
      <protection locked="true" hidden="false"/>
    </xf>
    <xf numFmtId="168" fontId="7" fillId="0" borderId="0" xfId="0" applyFont="true" applyBorder="false" applyAlignment="true" applyProtection="false">
      <alignment horizontal="general" vertical="bottom" textRotation="0" wrapText="fals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7" fontId="11" fillId="0" borderId="0" xfId="0" applyFont="true" applyBorder="false" applyAlignment="true" applyProtection="false">
      <alignment horizontal="general" vertical="bottom" textRotation="0" wrapText="false" indent="0" shrinkToFit="false"/>
      <protection locked="true" hidden="false"/>
    </xf>
    <xf numFmtId="167" fontId="12" fillId="0" borderId="0" xfId="0" applyFont="true" applyBorder="false" applyAlignment="true" applyProtection="false">
      <alignment horizontal="general" vertical="bottom" textRotation="0" wrapText="false" indent="0" shrinkToFit="false"/>
      <protection locked="true" hidden="false"/>
    </xf>
    <xf numFmtId="167" fontId="10"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6" fontId="7" fillId="0" borderId="0" xfId="0" applyFont="true" applyBorder="false" applyAlignment="tru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false" indent="0" shrinkToFit="false"/>
      <protection locked="true" hidden="false"/>
    </xf>
    <xf numFmtId="168" fontId="6" fillId="0" borderId="0" xfId="0" applyFont="true" applyBorder="false" applyAlignment="true" applyProtection="false">
      <alignment horizontal="general" vertical="bottom" textRotation="0" wrapText="false" indent="0" shrinkToFit="false"/>
      <protection locked="true" hidden="false"/>
    </xf>
    <xf numFmtId="165" fontId="7" fillId="0" borderId="0" xfId="0" applyFont="true" applyBorder="false" applyAlignment="true" applyProtection="false">
      <alignment horizontal="general" vertical="bottom" textRotation="0" wrapText="false" indent="0" shrinkToFit="false"/>
      <protection locked="true" hidden="false"/>
    </xf>
    <xf numFmtId="170" fontId="7" fillId="0" borderId="0" xfId="0" applyFont="true" applyBorder="false" applyAlignment="true" applyProtection="false">
      <alignment horizontal="general" vertical="bottom" textRotation="0" wrapText="false" indent="0" shrinkToFit="false"/>
      <protection locked="true" hidden="false"/>
    </xf>
    <xf numFmtId="171" fontId="7" fillId="0" borderId="0" xfId="0" applyFont="true" applyBorder="false" applyAlignment="true" applyProtection="false">
      <alignment horizontal="general" vertical="bottom" textRotation="0" wrapText="false" indent="0" shrinkToFit="false"/>
      <protection locked="true" hidden="false"/>
    </xf>
    <xf numFmtId="172" fontId="6"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73" fontId="7" fillId="0" borderId="0" xfId="0" applyFont="true" applyBorder="false" applyAlignment="true" applyProtection="false">
      <alignment horizontal="general" vertical="bottom" textRotation="0" wrapText="false" indent="0" shrinkToFit="false"/>
      <protection locked="true" hidden="false"/>
    </xf>
    <xf numFmtId="169" fontId="7" fillId="0" borderId="0" xfId="0" applyFont="true" applyBorder="false" applyAlignment="true" applyProtection="false">
      <alignment horizontal="general" vertical="bottom" textRotation="0" wrapText="false" indent="0" shrinkToFit="false"/>
      <protection locked="true" hidden="false"/>
    </xf>
    <xf numFmtId="169" fontId="8"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true" indent="0" shrinkToFit="false"/>
      <protection locked="true" hidden="false"/>
    </xf>
    <xf numFmtId="173" fontId="8"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7" fontId="18" fillId="0" borderId="0" xfId="0" applyFont="true" applyBorder="false" applyAlignment="true" applyProtection="false">
      <alignment horizontal="general" vertical="bottom" textRotation="0" wrapText="false" indent="0" shrinkToFit="false"/>
      <protection locked="true" hidden="false"/>
    </xf>
    <xf numFmtId="165" fontId="18" fillId="0" borderId="0" xfId="0" applyFont="true" applyBorder="false" applyAlignment="true" applyProtection="false">
      <alignment horizontal="general" vertical="bottom" textRotation="0" wrapText="false" indent="0" shrinkToFit="false"/>
      <protection locked="true" hidden="false"/>
    </xf>
    <xf numFmtId="164" fontId="19" fillId="0" borderId="0" xfId="0" applyFont="true" applyBorder="false" applyAlignment="true" applyProtection="false">
      <alignment horizontal="general" vertical="bottom" textRotation="0" wrapText="false" indent="0" shrinkToFit="false"/>
      <protection locked="true" hidden="false"/>
    </xf>
    <xf numFmtId="175" fontId="7"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666666"/>
      <rgbColor rgb="FF800080"/>
      <rgbColor rgb="FF4F81BD"/>
      <rgbColor rgb="FFC3CAD4"/>
      <rgbColor rgb="FF75787B"/>
      <rgbColor rgb="FF93A9CE"/>
      <rgbColor rgb="FFAB4744"/>
      <rgbColor rgb="FFFFFFCC"/>
      <rgbColor rgb="FFCCFFFF"/>
      <rgbColor rgb="FF660066"/>
      <rgbColor rgb="FFDC853E"/>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3B3B3"/>
      <rgbColor rgb="FFD09493"/>
      <rgbColor rgb="FFCC99FF"/>
      <rgbColor rgb="FFB8CD97"/>
      <rgbColor rgb="FF4672A8"/>
      <rgbColor rgb="FF33CCCC"/>
      <rgbColor rgb="FF99CC00"/>
      <rgbColor rgb="FFFFCC00"/>
      <rgbColor rgb="FFD4A843"/>
      <rgbColor rgb="FFC96A78"/>
      <rgbColor rgb="FF725990"/>
      <rgbColor rgb="FF8AA64F"/>
      <rgbColor rgb="FF1F3A5F"/>
      <rgbColor rgb="FF4299B0"/>
      <rgbColor rgb="FF003300"/>
      <rgbColor rgb="FF333300"/>
      <rgbColor rgb="FF993300"/>
      <rgbColor rgb="FFA31F34"/>
      <rgbColor rgb="FF333399"/>
      <rgbColor rgb="FF55555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The Federal Debt in Context ($ billions)</a:t>
            </a:r>
          </a:p>
        </c:rich>
      </c:tx>
      <c:overlay val="1"/>
    </c:title>
    <c:autoTitleDeleted val="0"/>
    <c:plotArea>
      <c:layout>
        <c:manualLayout>
          <c:layoutTarget val="inner"/>
          <c:xMode val="edge"/>
          <c:yMode val="edge"/>
          <c:x val="0.26"/>
          <c:y val="0.1"/>
          <c:w val="0.62"/>
          <c:h val="0.78"/>
        </c:manualLayout>
      </c:layout>
      <c:barChart>
        <c:barDir val="bar"/>
        <c:grouping val="clustered"/>
        <c:varyColors val="1"/>
        <c:ser>
          <c:idx val="0"/>
          <c:order val="0"/>
          <c:spPr>
            <a:ln>
              <a:prstDash val="solid"/>
            </a:ln>
          </c:spPr>
          <c:invertIfNegative val="1"/>
          <c:dPt>
            <c:idx val="0"/>
            <c:invertIfNegative val="1"/>
            <c:bubble3D val="0"/>
            <c:spPr>
              <a:solidFill>
                <a:srgbClr val="A31F34"/>
              </a:solidFill>
              <a:ln>
                <a:prstDash val="solid"/>
              </a:ln>
            </c:spPr>
            <c:extLst>
              <c:ext xmlns:c16="http://schemas.microsoft.com/office/drawing/2014/chart" uri="{C3380CC4-5D6E-409C-BE32-E72D297353CC}">
                <c16:uniqueId val="{00000001-90C4-4F80-A16F-20AE0C210D1F}"/>
              </c:ext>
            </c:extLst>
          </c:dPt>
          <c:dPt>
            <c:idx val="1"/>
            <c:invertIfNegative val="1"/>
            <c:bubble3D val="0"/>
            <c:spPr>
              <a:solidFill>
                <a:srgbClr val="A31F34"/>
              </a:solidFill>
              <a:ln>
                <a:prstDash val="solid"/>
              </a:ln>
            </c:spPr>
            <c:extLst>
              <c:ext xmlns:c16="http://schemas.microsoft.com/office/drawing/2014/chart" uri="{C3380CC4-5D6E-409C-BE32-E72D297353CC}">
                <c16:uniqueId val="{00000003-90C4-4F80-A16F-20AE0C210D1F}"/>
              </c:ext>
            </c:extLst>
          </c:dPt>
          <c:dPt>
            <c:idx val="2"/>
            <c:invertIfNegative val="1"/>
            <c:bubble3D val="0"/>
            <c:spPr>
              <a:solidFill>
                <a:srgbClr val="75787B"/>
              </a:solidFill>
              <a:ln>
                <a:prstDash val="solid"/>
              </a:ln>
            </c:spPr>
            <c:extLst>
              <c:ext xmlns:c16="http://schemas.microsoft.com/office/drawing/2014/chart" uri="{C3380CC4-5D6E-409C-BE32-E72D297353CC}">
                <c16:uniqueId val="{00000005-90C4-4F80-A16F-20AE0C210D1F}"/>
              </c:ext>
            </c:extLst>
          </c:dPt>
          <c:dPt>
            <c:idx val="3"/>
            <c:invertIfNegative val="1"/>
            <c:bubble3D val="0"/>
            <c:spPr>
              <a:solidFill>
                <a:srgbClr val="75787B"/>
              </a:solidFill>
              <a:ln>
                <a:prstDash val="solid"/>
              </a:ln>
            </c:spPr>
            <c:extLst>
              <c:ext xmlns:c16="http://schemas.microsoft.com/office/drawing/2014/chart" uri="{C3380CC4-5D6E-409C-BE32-E72D297353CC}">
                <c16:uniqueId val="{00000007-90C4-4F80-A16F-20AE0C210D1F}"/>
              </c:ext>
            </c:extLst>
          </c:dPt>
          <c:dPt>
            <c:idx val="4"/>
            <c:invertIfNegative val="1"/>
            <c:bubble3D val="0"/>
            <c:spPr>
              <a:solidFill>
                <a:srgbClr val="75787B"/>
              </a:solidFill>
              <a:ln>
                <a:prstDash val="solid"/>
              </a:ln>
            </c:spPr>
            <c:extLst>
              <c:ext xmlns:c16="http://schemas.microsoft.com/office/drawing/2014/chart" uri="{C3380CC4-5D6E-409C-BE32-E72D297353CC}">
                <c16:uniqueId val="{00000009-90C4-4F80-A16F-20AE0C210D1F}"/>
              </c:ext>
            </c:extLst>
          </c:dPt>
          <c:dPt>
            <c:idx val="5"/>
            <c:invertIfNegative val="1"/>
            <c:bubble3D val="0"/>
            <c:spPr>
              <a:solidFill>
                <a:srgbClr val="1F3A5F"/>
              </a:solidFill>
              <a:ln>
                <a:prstDash val="solid"/>
              </a:ln>
            </c:spPr>
            <c:extLst>
              <c:ext xmlns:c16="http://schemas.microsoft.com/office/drawing/2014/chart" uri="{C3380CC4-5D6E-409C-BE32-E72D297353CC}">
                <c16:uniqueId val="{0000000B-90C4-4F80-A16F-20AE0C210D1F}"/>
              </c:ext>
            </c:extLst>
          </c:dPt>
          <c:dPt>
            <c:idx val="6"/>
            <c:invertIfNegative val="1"/>
            <c:bubble3D val="0"/>
            <c:spPr>
              <a:solidFill>
                <a:srgbClr val="75787B"/>
              </a:solidFill>
              <a:ln>
                <a:prstDash val="solid"/>
              </a:ln>
            </c:spPr>
            <c:extLst>
              <c:ext xmlns:c16="http://schemas.microsoft.com/office/drawing/2014/chart" uri="{C3380CC4-5D6E-409C-BE32-E72D297353CC}">
                <c16:uniqueId val="{0000000D-90C4-4F80-A16F-20AE0C210D1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'Debt Comparisons'!$A$33:$A$39</c:f>
              <c:strCache>
                <c:ptCount val="7"/>
                <c:pt idx="0">
                  <c:v>Gross federal debt</c:v>
                </c:pt>
                <c:pt idx="1">
                  <c:v>Debt held by public</c:v>
                </c:pt>
                <c:pt idx="2">
                  <c:v>Annual federal receipts (FY2025)</c:v>
                </c:pt>
                <c:pt idx="3">
                  <c:v>M2 money stock</c:v>
                </c:pt>
                <c:pt idx="4">
                  <c:v>GDP (implied)</c:v>
                </c:pt>
                <c:pt idx="5">
                  <c:v>Official U.S. net wealth (Fed B.1)</c:v>
                </c:pt>
                <c:pt idx="6">
                  <c:v>Household net worth (published)</c:v>
                </c:pt>
              </c:strCache>
            </c:strRef>
          </c:cat>
          <c:val>
            <c:numRef>
              <c:f>'Debt Comparisons'!$B$33:$B$39</c:f>
              <c:numCache>
                <c:formatCode>#,##0</c:formatCode>
                <c:ptCount val="7"/>
                <c:pt idx="0">
                  <c:v>39462.398000000001</c:v>
                </c:pt>
                <c:pt idx="1">
                  <c:v>31681.308000000001</c:v>
                </c:pt>
                <c:pt idx="2">
                  <c:v>5234.616</c:v>
                </c:pt>
                <c:pt idx="3">
                  <c:v>23052.3</c:v>
                </c:pt>
                <c:pt idx="4">
                  <c:v>31850.311284046697</c:v>
                </c:pt>
                <c:pt idx="5">
                  <c:v>166680.6</c:v>
                </c:pt>
                <c:pt idx="6">
                  <c:v>182979.9</c:v>
                </c:pt>
              </c:numCache>
            </c:numRef>
          </c:val>
          <c:extLst>
            <c:ext xmlns:c16="http://schemas.microsoft.com/office/drawing/2014/chart" uri="{C3380CC4-5D6E-409C-BE32-E72D297353CC}">
              <c16:uniqueId val="{0000000E-90C4-4F80-A16F-20AE0C210D1F}"/>
            </c:ext>
          </c:extLst>
        </c:ser>
        <c:dLbls>
          <c:showLegendKey val="0"/>
          <c:showVal val="1"/>
          <c:showCatName val="0"/>
          <c:showSerName val="0"/>
          <c:showPercent val="0"/>
          <c:showBubbleSize val="0"/>
        </c:dLbls>
        <c:gapWidth val="45"/>
        <c:axId val="10"/>
        <c:axId val="100"/>
      </c:barChart>
      <c:catAx>
        <c:axId val="10"/>
        <c:scaling>
          <c:orientation val="minMax"/>
        </c:scaling>
        <c:delete val="0"/>
        <c:axPos val="l"/>
        <c:numFmt formatCode="General" sourceLinked="1"/>
        <c:majorTickMark val="out"/>
        <c:minorTickMark val="none"/>
        <c:tickLblPos val="nextTo"/>
        <c:crossAx val="100"/>
        <c:crosses val="autoZero"/>
        <c:auto val="1"/>
        <c:lblAlgn val="ctr"/>
        <c:lblOffset val="100"/>
        <c:noMultiLvlLbl val="1"/>
      </c:catAx>
      <c:valAx>
        <c:axId val="100"/>
        <c:scaling>
          <c:orientation val="minMax"/>
          <c:max val="200000"/>
          <c:min val="0"/>
        </c:scaling>
        <c:delete val="0"/>
        <c:axPos val="b"/>
        <c:majorGridlines/>
        <c:title>
          <c:tx>
            <c:rich>
              <a:bodyPr/>
              <a:lstStyle/>
              <a:p>
                <a:pPr>
                  <a:defRPr/>
                </a:pPr>
                <a:r>
                  <a:rPr lang="en-US"/>
                  <a:t>$ billions</a:t>
                </a:r>
              </a:p>
            </c:rich>
          </c:tx>
          <c:overlay val="1"/>
        </c:title>
        <c:numFmt formatCode="#,##0" sourceLinked="0"/>
        <c:majorTickMark val="out"/>
        <c:minorTickMark val="none"/>
        <c:tickLblPos val="nextTo"/>
        <c:crossAx val="10"/>
        <c:crosses val="autoZero"/>
        <c:crossBetween val="between"/>
        <c:majorUnit val="25000"/>
      </c:valAx>
    </c:plotArea>
    <c:plotVisOnly val="1"/>
    <c:dispBlanksAs val="gap"/>
    <c:showDLblsOverMax val="1"/>
  </c:chart>
  <c:printSettings>
    <c:headerFooter/>
    <c:pageMargins b="0.75" l="0.7" r="0.7" t="0.75" header="0.3" footer="0.3"/>
    <c:pageSetup/>
  </c:printSettings>
</c:chartSpace>
</file>

<file path=xl/charts/chart10.xml><?xml version="1.0" encoding="utf-8"?>
<chartSpace xmlns="http://schemas.openxmlformats.org/drawingml/2006/chart">
  <chart>
    <title>
      <tx>
        <rich>
          <a:bodyPr xmlns:a="http://schemas.openxmlformats.org/drawingml/2006/main"/>
          <a:p xmlns:a="http://schemas.openxmlformats.org/drawingml/2006/main">
            <a:pPr>
              <a:defRPr/>
            </a:pPr>
            <a:r>
              <a:t>Foreign Holdings of U.S. Treasuries by Region ($ billions)</a:t>
            </a:r>
          </a:p>
        </rich>
      </tx>
    </title>
    <plotArea>
      <barChart>
        <barDir val="col"/>
        <grouping val="stacked"/>
        <ser>
          <idx val="0"/>
          <order val="0"/>
          <tx>
            <strRef>
              <f>'Foreign Holders'!A5</f>
            </strRef>
          </tx>
          <spPr>
            <a:solidFill xmlns:a="http://schemas.openxmlformats.org/drawingml/2006/main">
              <a:srgbClr val="A31F34"/>
            </a:solidFill>
            <a:ln xmlns:a="http://schemas.openxmlformats.org/drawingml/2006/main">
              <a:prstDash val="solid"/>
            </a:ln>
          </spPr>
          <cat>
            <numRef>
              <f>'Foreign Holders'!$B$4:$G$4</f>
            </numRef>
          </cat>
          <val>
            <numRef>
              <f>'Foreign Holders'!$B$5:$G$5</f>
            </numRef>
          </val>
        </ser>
        <ser>
          <idx val="1"/>
          <order val="1"/>
          <tx>
            <strRef>
              <f>'Foreign Holders'!A6</f>
            </strRef>
          </tx>
          <spPr>
            <a:solidFill xmlns:a="http://schemas.openxmlformats.org/drawingml/2006/main">
              <a:srgbClr val="1F3A5F"/>
            </a:solidFill>
            <a:ln xmlns:a="http://schemas.openxmlformats.org/drawingml/2006/main">
              <a:prstDash val="solid"/>
            </a:ln>
          </spPr>
          <cat>
            <numRef>
              <f>'Foreign Holders'!$B$4:$G$4</f>
            </numRef>
          </cat>
          <val>
            <numRef>
              <f>'Foreign Holders'!$B$6:$G$6</f>
            </numRef>
          </val>
        </ser>
        <ser>
          <idx val="2"/>
          <order val="2"/>
          <tx>
            <strRef>
              <f>'Foreign Holders'!A7</f>
            </strRef>
          </tx>
          <spPr>
            <a:solidFill xmlns:a="http://schemas.openxmlformats.org/drawingml/2006/main">
              <a:srgbClr val="D4A843"/>
            </a:solidFill>
            <a:ln xmlns:a="http://schemas.openxmlformats.org/drawingml/2006/main">
              <a:prstDash val="solid"/>
            </a:ln>
          </spPr>
          <cat>
            <numRef>
              <f>'Foreign Holders'!$B$4:$G$4</f>
            </numRef>
          </cat>
          <val>
            <numRef>
              <f>'Foreign Holders'!$B$7:$G$7</f>
            </numRef>
          </val>
        </ser>
        <ser>
          <idx val="3"/>
          <order val="3"/>
          <tx>
            <strRef>
              <f>'Foreign Holders'!A8</f>
            </strRef>
          </tx>
          <spPr>
            <a:solidFill xmlns:a="http://schemas.openxmlformats.org/drawingml/2006/main">
              <a:srgbClr val="75787B"/>
            </a:solidFill>
            <a:ln xmlns:a="http://schemas.openxmlformats.org/drawingml/2006/main">
              <a:prstDash val="solid"/>
            </a:ln>
          </spPr>
          <cat>
            <numRef>
              <f>'Foreign Holders'!$B$4:$G$4</f>
            </numRef>
          </cat>
          <val>
            <numRef>
              <f>'Foreign Holders'!$B$8:$G$8</f>
            </numRef>
          </val>
        </ser>
        <ser>
          <idx val="4"/>
          <order val="4"/>
          <tx>
            <strRef>
              <f>'Foreign Holders'!A9</f>
            </strRef>
          </tx>
          <spPr>
            <a:solidFill xmlns:a="http://schemas.openxmlformats.org/drawingml/2006/main">
              <a:srgbClr val="C96A78"/>
            </a:solidFill>
            <a:ln xmlns:a="http://schemas.openxmlformats.org/drawingml/2006/main">
              <a:prstDash val="solid"/>
            </a:ln>
          </spPr>
          <cat>
            <numRef>
              <f>'Foreign Holders'!$B$4:$G$4</f>
            </numRef>
          </cat>
          <val>
            <numRef>
              <f>'Foreign Holders'!$B$9:$G$9</f>
            </numRef>
          </val>
        </ser>
        <gapWidth val="150"/>
        <overlap val="100"/>
        <axId val="10"/>
        <axId val="100"/>
      </barChart>
      <catAx>
        <axId val="10"/>
        <scaling>
          <orientation val="minMax"/>
        </scaling>
        <axPos val="l"/>
        <majorTickMark val="none"/>
        <minorTickMark val="none"/>
        <crossAx val="100"/>
        <lblOffset val="100"/>
      </catAx>
      <valAx>
        <axId val="100"/>
        <scaling>
          <orientation val="minMax"/>
        </scaling>
        <axPos val="l"/>
        <title>
          <tx>
            <rich>
              <a:bodyPr xmlns:a="http://schemas.openxmlformats.org/drawingml/2006/main"/>
              <a:p xmlns:a="http://schemas.openxmlformats.org/drawingml/2006/main">
                <a:pPr>
                  <a:defRPr/>
                </a:pPr>
                <a:r>
                  <a:t>$ billions</a:t>
                </a:r>
              </a:p>
            </rich>
          </tx>
        </title>
        <majorTickMark val="none"/>
        <minorTickMark val="none"/>
        <crossAx val="10"/>
      </valAx>
    </plotArea>
    <legend>
      <legendPos val="b"/>
    </legend>
    <plotVisOnly val="1"/>
    <dispBlanksAs val="gap"/>
  </chart>
</chartSpace>
</file>

<file path=xl/charts/chart11.xml><?xml version="1.0" encoding="utf-8"?>
<chartSpace xmlns="http://schemas.openxmlformats.org/drawingml/2006/chart">
  <chart>
    <title>
      <tx>
        <rich>
          <a:bodyPr xmlns:a="http://schemas.openxmlformats.org/drawingml/2006/main"/>
          <a:p xmlns:a="http://schemas.openxmlformats.org/drawingml/2006/main">
            <a:pPr>
              <a:defRPr/>
            </a:pPr>
            <a:r>
              <a:t>Cumulative Growth in Foreign Holdings Since 2000 (2000 = 0%)</a:t>
            </a:r>
          </a:p>
        </rich>
      </tx>
    </title>
    <plotArea>
      <lineChart>
        <grouping val="standard"/>
        <ser>
          <idx val="0"/>
          <order val="0"/>
          <tx>
            <strRef>
              <f>'Foreign Holders'!A14</f>
            </strRef>
          </tx>
          <spPr>
            <a:ln xmlns:a="http://schemas.openxmlformats.org/drawingml/2006/main" w="28575">
              <a:solidFill>
                <a:srgbClr val="A31F34"/>
              </a:solidFill>
              <a:prstDash val="solid"/>
            </a:ln>
          </spPr>
          <marker>
            <symbol val="none"/>
            <spPr>
              <a:ln xmlns:a="http://schemas.openxmlformats.org/drawingml/2006/main">
                <a:prstDash val="solid"/>
              </a:ln>
            </spPr>
          </marker>
          <cat>
            <numRef>
              <f>'Foreign Holders'!$B$13:$G$13</f>
            </numRef>
          </cat>
          <val>
            <numRef>
              <f>'Foreign Holders'!$B$14:$G$14</f>
            </numRef>
          </val>
          <smooth val="0"/>
        </ser>
        <ser>
          <idx val="1"/>
          <order val="1"/>
          <tx>
            <strRef>
              <f>'Foreign Holders'!A15</f>
            </strRef>
          </tx>
          <spPr>
            <a:ln xmlns:a="http://schemas.openxmlformats.org/drawingml/2006/main" w="28575">
              <a:solidFill>
                <a:srgbClr val="1F3A5F"/>
              </a:solidFill>
              <a:prstDash val="solid"/>
            </a:ln>
          </spPr>
          <marker>
            <symbol val="none"/>
            <spPr>
              <a:ln xmlns:a="http://schemas.openxmlformats.org/drawingml/2006/main">
                <a:prstDash val="solid"/>
              </a:ln>
            </spPr>
          </marker>
          <cat>
            <numRef>
              <f>'Foreign Holders'!$B$13:$G$13</f>
            </numRef>
          </cat>
          <val>
            <numRef>
              <f>'Foreign Holders'!$B$15:$G$15</f>
            </numRef>
          </val>
          <smooth val="0"/>
        </ser>
        <ser>
          <idx val="2"/>
          <order val="2"/>
          <tx>
            <strRef>
              <f>'Foreign Holders'!A16</f>
            </strRef>
          </tx>
          <spPr>
            <a:ln xmlns:a="http://schemas.openxmlformats.org/drawingml/2006/main" w="28575">
              <a:solidFill>
                <a:srgbClr val="D4A843"/>
              </a:solidFill>
              <a:prstDash val="solid"/>
            </a:ln>
          </spPr>
          <marker>
            <symbol val="none"/>
            <spPr>
              <a:ln xmlns:a="http://schemas.openxmlformats.org/drawingml/2006/main">
                <a:prstDash val="solid"/>
              </a:ln>
            </spPr>
          </marker>
          <cat>
            <numRef>
              <f>'Foreign Holders'!$B$13:$G$13</f>
            </numRef>
          </cat>
          <val>
            <numRef>
              <f>'Foreign Holders'!$B$16:$G$16</f>
            </numRef>
          </val>
          <smooth val="0"/>
        </ser>
        <ser>
          <idx val="3"/>
          <order val="3"/>
          <tx>
            <strRef>
              <f>'Foreign Holders'!A17</f>
            </strRef>
          </tx>
          <spPr>
            <a:ln xmlns:a="http://schemas.openxmlformats.org/drawingml/2006/main" w="28575">
              <a:solidFill>
                <a:srgbClr val="75787B"/>
              </a:solidFill>
              <a:prstDash val="solid"/>
            </a:ln>
          </spPr>
          <marker>
            <symbol val="none"/>
            <spPr>
              <a:ln xmlns:a="http://schemas.openxmlformats.org/drawingml/2006/main">
                <a:prstDash val="solid"/>
              </a:ln>
            </spPr>
          </marker>
          <cat>
            <numRef>
              <f>'Foreign Holders'!$B$13:$G$13</f>
            </numRef>
          </cat>
          <val>
            <numRef>
              <f>'Foreign Holders'!$B$17:$G$17</f>
            </numRef>
          </val>
          <smooth val="0"/>
        </ser>
        <ser>
          <idx val="4"/>
          <order val="4"/>
          <tx>
            <strRef>
              <f>'Foreign Holders'!A18</f>
            </strRef>
          </tx>
          <spPr>
            <a:ln xmlns:a="http://schemas.openxmlformats.org/drawingml/2006/main" w="28575">
              <a:solidFill>
                <a:srgbClr val="C96A78"/>
              </a:solidFill>
              <a:prstDash val="solid"/>
            </a:ln>
          </spPr>
          <marker>
            <symbol val="none"/>
            <spPr>
              <a:ln xmlns:a="http://schemas.openxmlformats.org/drawingml/2006/main">
                <a:prstDash val="solid"/>
              </a:ln>
            </spPr>
          </marker>
          <cat>
            <numRef>
              <f>'Foreign Holders'!$B$13:$G$13</f>
            </numRef>
          </cat>
          <val>
            <numRef>
              <f>'Foreign Holders'!$B$18:$G$18</f>
            </numRef>
          </val>
          <smooth val="0"/>
        </ser>
        <axId val="10"/>
        <axId val="100"/>
      </line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Growth since 2000 (%)</a:t>
                </a:r>
              </a:p>
            </rich>
          </tx>
        </title>
        <majorTickMark val="none"/>
        <minorTickMark val="none"/>
        <crossAx val="10"/>
      </valAx>
    </plotArea>
    <legend>
      <legendPos val="b"/>
    </legend>
    <plotVisOnly val="1"/>
    <dispBlanksAs val="gap"/>
  </chart>
</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Effective Rate on the Federal Debt vs. Net Interest Paid, FY1996-FY2025</a:t>
            </a:r>
          </a:p>
        </c:rich>
      </c:tx>
      <c:overlay val="1"/>
    </c:title>
    <c:autoTitleDeleted val="0"/>
    <c:plotArea>
      <c:layout>
        <c:manualLayout>
          <c:layoutTarget val="inner"/>
          <c:xMode val="edge"/>
          <c:yMode val="edge"/>
          <c:x val="0.09"/>
          <c:y val="0.12"/>
          <c:w val="0.82"/>
          <c:h val="0.66"/>
        </c:manualLayout>
      </c:layout>
      <c:barChart>
        <c:barDir val="col"/>
        <c:grouping val="clustered"/>
        <c:varyColors val="1"/>
        <c:ser>
          <c:idx val="0"/>
          <c:order val="0"/>
          <c:tx>
            <c:strRef>
              <c:f>'P&amp;L History'!$D$4</c:f>
              <c:strCache>
                <c:ptCount val="1"/>
                <c:pt idx="0">
                  <c:v>Net interest</c:v>
                </c:pt>
              </c:strCache>
            </c:strRef>
          </c:tx>
          <c:spPr>
            <a:solidFill>
              <a:srgbClr val="C3CAD4"/>
            </a:solidFill>
            <a:ln>
              <a:solidFill>
                <a:srgbClr val="C3CAD4"/>
              </a:solidFill>
              <a:prstDash val="solid"/>
            </a:ln>
          </c:spPr>
          <c:invertIfNegative val="1"/>
          <c:cat>
            <c:numRef>
              <c:f>'P&amp;L History'!$A$5:$A$34</c:f>
              <c:numCache>
                <c:formatCode>0</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'P&amp;L History'!$D$5:$D$34</c:f>
              <c:numCache>
                <c:formatCode>#,##0</c:formatCode>
                <c:ptCount val="30"/>
                <c:pt idx="0">
                  <c:v>241.1</c:v>
                </c:pt>
                <c:pt idx="1">
                  <c:v>244</c:v>
                </c:pt>
                <c:pt idx="2">
                  <c:v>241.1</c:v>
                </c:pt>
                <c:pt idx="3">
                  <c:v>229.8</c:v>
                </c:pt>
                <c:pt idx="4">
                  <c:v>222.9</c:v>
                </c:pt>
                <c:pt idx="5">
                  <c:v>206.2</c:v>
                </c:pt>
                <c:pt idx="6">
                  <c:v>170.9</c:v>
                </c:pt>
                <c:pt idx="7">
                  <c:v>153.1</c:v>
                </c:pt>
                <c:pt idx="8">
                  <c:v>160.19999999999999</c:v>
                </c:pt>
                <c:pt idx="9">
                  <c:v>184</c:v>
                </c:pt>
                <c:pt idx="10">
                  <c:v>226.6</c:v>
                </c:pt>
                <c:pt idx="11">
                  <c:v>237.1</c:v>
                </c:pt>
                <c:pt idx="12">
                  <c:v>252.8</c:v>
                </c:pt>
                <c:pt idx="13">
                  <c:v>186.9</c:v>
                </c:pt>
                <c:pt idx="14">
                  <c:v>196.2</c:v>
                </c:pt>
                <c:pt idx="15">
                  <c:v>230</c:v>
                </c:pt>
                <c:pt idx="16">
                  <c:v>220.4</c:v>
                </c:pt>
                <c:pt idx="17">
                  <c:v>220.9</c:v>
                </c:pt>
                <c:pt idx="18">
                  <c:v>229</c:v>
                </c:pt>
                <c:pt idx="19">
                  <c:v>223.2</c:v>
                </c:pt>
                <c:pt idx="20">
                  <c:v>240</c:v>
                </c:pt>
                <c:pt idx="21">
                  <c:v>262.60000000000002</c:v>
                </c:pt>
                <c:pt idx="22">
                  <c:v>325</c:v>
                </c:pt>
                <c:pt idx="23">
                  <c:v>375.2</c:v>
                </c:pt>
                <c:pt idx="24">
                  <c:v>345.5</c:v>
                </c:pt>
                <c:pt idx="25">
                  <c:v>352.3</c:v>
                </c:pt>
                <c:pt idx="26">
                  <c:v>475.9</c:v>
                </c:pt>
                <c:pt idx="27">
                  <c:v>658.3</c:v>
                </c:pt>
                <c:pt idx="28">
                  <c:v>879.9</c:v>
                </c:pt>
                <c:pt idx="29">
                  <c:v>970.1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C3CAD4"/>
                    </a:solidFill>
                    <a:prstDash val="solid"/>
                  </a:ln>
                </c14:spPr>
              </c14:invertSolidFillFmt>
            </c:ext>
            <c:ext xmlns:c16="http://schemas.microsoft.com/office/drawing/2014/chart" uri="{C3380CC4-5D6E-409C-BE32-E72D297353CC}">
              <c16:uniqueId val="{00000000-A3FB-47B3-A3E0-46C7CB71627F}"/>
            </c:ext>
          </c:extLst>
        </c:ser>
        <c:dLbls>
          <c:showLegendKey val="0"/>
          <c:showVal val="0"/>
          <c:showCatName val="0"/>
          <c:showSerName val="0"/>
          <c:showPercent val="0"/>
          <c:showBubbleSize val="0"/>
        </c:dLbls>
        <c:gapWidth val="40"/>
        <c:axId val="10"/>
        <c:axId val="100"/>
      </c:barChart>
      <c:lineChart>
        <c:grouping val="standard"/>
        <c:varyColors val="1"/>
        <c:ser>
          <c:idx val="1"/>
          <c:order val="1"/>
          <c:tx>
            <c:strRef>
              <c:f>'P&amp;L History'!$O$4</c:f>
              <c:strCache>
                <c:ptCount val="1"/>
                <c:pt idx="0">
                  <c:v>Effective rate on the debt</c:v>
                </c:pt>
              </c:strCache>
            </c:strRef>
          </c:tx>
          <c:spPr>
            <a:ln w="28575">
              <a:solidFill>
                <a:srgbClr val="A31F34"/>
              </a:solidFill>
              <a:prstDash val="solid"/>
            </a:ln>
          </c:spPr>
          <c:marker>
            <c:symbol val="none"/>
          </c:marker>
          <c:val>
            <c:numRef>
              <c:f>'P&amp;L History'!$O$5:$O$34</c:f>
              <c:numCache>
                <c:formatCode>0.00%</c:formatCode>
                <c:ptCount val="30"/>
                <c:pt idx="0">
                  <c:v>6.5708689749376256E-2</c:v>
                </c:pt>
                <c:pt idx="1">
                  <c:v>6.5011043218089273E-2</c:v>
                </c:pt>
                <c:pt idx="2">
                  <c:v>6.4349592036664585E-2</c:v>
                </c:pt>
                <c:pt idx="3">
                  <c:v>6.250117291691995E-2</c:v>
                </c:pt>
                <c:pt idx="4">
                  <c:v>6.3304377757585142E-2</c:v>
                </c:pt>
                <c:pt idx="5">
                  <c:v>6.1283150893115736E-2</c:v>
                </c:pt>
                <c:pt idx="6">
                  <c:v>4.9824767836698383E-2</c:v>
                </c:pt>
                <c:pt idx="7">
                  <c:v>4.1079331944345682E-2</c:v>
                </c:pt>
                <c:pt idx="8">
                  <c:v>3.9030394371437051E-2</c:v>
                </c:pt>
                <c:pt idx="9">
                  <c:v>4.1405277102566716E-2</c:v>
                </c:pt>
                <c:pt idx="10">
                  <c:v>4.8104357159354912E-2</c:v>
                </c:pt>
                <c:pt idx="11">
                  <c:v>4.8073311495898108E-2</c:v>
                </c:pt>
                <c:pt idx="12">
                  <c:v>4.6649903087963393E-2</c:v>
                </c:pt>
                <c:pt idx="13">
                  <c:v>2.8004705210021429E-2</c:v>
                </c:pt>
                <c:pt idx="14">
                  <c:v>2.3690517797803363E-2</c:v>
                </c:pt>
                <c:pt idx="15">
                  <c:v>2.4024564804148354E-2</c:v>
                </c:pt>
                <c:pt idx="16">
                  <c:v>2.0589165894962184E-2</c:v>
                </c:pt>
                <c:pt idx="17">
                  <c:v>1.8990842613972138E-2</c:v>
                </c:pt>
                <c:pt idx="18">
                  <c:v>1.8495625582632395E-2</c:v>
                </c:pt>
                <c:pt idx="19">
                  <c:v>1.7237790101407555E-2</c:v>
                </c:pt>
                <c:pt idx="20">
                  <c:v>1.7592524584453574E-2</c:v>
                </c:pt>
                <c:pt idx="21">
                  <c:v>1.8215199682392397E-2</c:v>
                </c:pt>
                <c:pt idx="22">
                  <c:v>2.1371029813375672E-2</c:v>
                </c:pt>
                <c:pt idx="23">
                  <c:v>2.3053574337808042E-2</c:v>
                </c:pt>
                <c:pt idx="24">
                  <c:v>1.8272027332202827E-2</c:v>
                </c:pt>
                <c:pt idx="25">
                  <c:v>1.6272250877000651E-2</c:v>
                </c:pt>
                <c:pt idx="26">
                  <c:v>2.0452329987320973E-2</c:v>
                </c:pt>
                <c:pt idx="27">
                  <c:v>2.6076948150149902E-2</c:v>
                </c:pt>
                <c:pt idx="28">
                  <c:v>3.2331756821829823E-2</c:v>
                </c:pt>
                <c:pt idx="29">
                  <c:v>3.3244752625422182E-2</c:v>
                </c:pt>
              </c:numCache>
            </c:numRef>
          </c:val>
          <c:smooth val="0"/>
          <c:extLst>
            <c:ext xmlns:c16="http://schemas.microsoft.com/office/drawing/2014/chart" uri="{C3380CC4-5D6E-409C-BE32-E72D297353CC}">
              <c16:uniqueId val="{00000001-A3FB-47B3-A3E0-46C7CB71627F}"/>
            </c:ext>
          </c:extLst>
        </c:ser>
        <c:dLbls>
          <c:showLegendKey val="0"/>
          <c:showVal val="0"/>
          <c:showCatName val="0"/>
          <c:showSerName val="0"/>
          <c:showPercent val="0"/>
          <c:showBubbleSize val="0"/>
        </c:dLbls>
        <c:marker val="1"/>
        <c:smooth val="0"/>
        <c:axId val="10"/>
        <c:axId val="200"/>
      </c:lineChart>
      <c:catAx>
        <c:axId val="10"/>
        <c:scaling>
          <c:orientation val="minMax"/>
        </c:scaling>
        <c:delete val="0"/>
        <c:axPos val="b"/>
        <c:numFmt formatCode="0" sourceLinked="1"/>
        <c:majorTickMark val="out"/>
        <c:minorTickMark val="none"/>
        <c:tickLblPos val="low"/>
        <c:crossAx val="100"/>
        <c:crosses val="autoZero"/>
        <c:auto val="1"/>
        <c:lblAlgn val="ctr"/>
        <c:lblOffset val="100"/>
        <c:noMultiLvlLbl val="1"/>
      </c:catAx>
      <c:valAx>
        <c:axId val="100"/>
        <c:scaling>
          <c:orientation val="minMax"/>
          <c:max val="1000"/>
          <c:min val="0"/>
        </c:scaling>
        <c:delete val="0"/>
        <c:axPos val="r"/>
        <c:majorGridlines/>
        <c:title>
          <c:tx>
            <c:rich>
              <a:bodyPr/>
              <a:lstStyle/>
              <a:p>
                <a:pPr>
                  <a:defRPr/>
                </a:pPr>
                <a:r>
                  <a:rPr lang="en-US"/>
                  <a:t>Net interest paid ($ billions)</a:t>
                </a:r>
              </a:p>
            </c:rich>
          </c:tx>
          <c:overlay val="1"/>
        </c:title>
        <c:numFmt formatCode="#,##0" sourceLinked="0"/>
        <c:majorTickMark val="out"/>
        <c:minorTickMark val="none"/>
        <c:tickLblPos val="nextTo"/>
        <c:crossAx val="10"/>
        <c:crosses val="max"/>
        <c:crossBetween val="between"/>
        <c:majorUnit val="250"/>
      </c:valAx>
      <c:valAx>
        <c:axId val="200"/>
        <c:scaling>
          <c:orientation val="minMax"/>
          <c:max val="0.08"/>
          <c:min val="0"/>
        </c:scaling>
        <c:delete val="0"/>
        <c:axPos val="l"/>
        <c:title>
          <c:tx>
            <c:rich>
              <a:bodyPr/>
              <a:lstStyle/>
              <a:p>
                <a:pPr>
                  <a:defRPr/>
                </a:pPr>
                <a:r>
                  <a:rPr lang="en-US"/>
                  <a:t>Effective rate on the debt</a:t>
                </a:r>
              </a:p>
            </c:rich>
          </c:tx>
          <c:overlay val="1"/>
        </c:title>
        <c:numFmt formatCode="0.0%" sourceLinked="0"/>
        <c:majorTickMark val="none"/>
        <c:minorTickMark val="none"/>
        <c:tickLblPos val="nextTo"/>
        <c:crossAx val="10"/>
        <c:crosses val="autoZero"/>
        <c:crossBetween val="between"/>
        <c:majorUnit val="0.02"/>
      </c:valAx>
    </c:plotArea>
    <c:legend>
      <c:legendPos val="b"/>
      <c:overlay val="0"/>
    </c:legend>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Federal Receipts vs. Outlays: the Deficit and Its Interest Component, FY1996-FY2025</a:t>
            </a:r>
          </a:p>
        </c:rich>
      </c:tx>
      <c:overlay val="1"/>
    </c:title>
    <c:autoTitleDeleted val="0"/>
    <c:plotArea>
      <c:layout>
        <c:manualLayout>
          <c:layoutTarget val="inner"/>
          <c:xMode val="edge"/>
          <c:yMode val="edge"/>
          <c:x val="0.09"/>
          <c:y val="0.12"/>
          <c:w val="0.82"/>
          <c:h val="0.62"/>
        </c:manualLayout>
      </c:layout>
      <c:barChart>
        <c:barDir val="col"/>
        <c:grouping val="stacked"/>
        <c:varyColors val="1"/>
        <c:ser>
          <c:idx val="0"/>
          <c:order val="0"/>
          <c:tx>
            <c:strRef>
              <c:f>'P&amp;L History'!$E$4</c:f>
              <c:strCache>
                <c:ptCount val="1"/>
                <c:pt idx="0">
                  <c:v>Operating expenses</c:v>
                </c:pt>
              </c:strCache>
            </c:strRef>
          </c:tx>
          <c:spPr>
            <a:solidFill>
              <a:srgbClr val="C3CAD4"/>
            </a:solidFill>
            <a:ln>
              <a:solidFill>
                <a:srgbClr val="C3CAD4"/>
              </a:solidFill>
              <a:prstDash val="solid"/>
            </a:ln>
          </c:spPr>
          <c:invertIfNegative val="1"/>
          <c:cat>
            <c:numRef>
              <c:f>'P&amp;L History'!$A$5:$A$34</c:f>
              <c:numCache>
                <c:formatCode>0</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'P&amp;L History'!$E$5:$E$34</c:f>
              <c:numCache>
                <c:formatCode>#,##0</c:formatCode>
                <c:ptCount val="30"/>
                <c:pt idx="0">
                  <c:v>1319.4</c:v>
                </c:pt>
                <c:pt idx="1">
                  <c:v>1357.1</c:v>
                </c:pt>
                <c:pt idx="2">
                  <c:v>1411.4</c:v>
                </c:pt>
                <c:pt idx="3">
                  <c:v>1472</c:v>
                </c:pt>
                <c:pt idx="4">
                  <c:v>1566.1</c:v>
                </c:pt>
                <c:pt idx="5">
                  <c:v>1656.6</c:v>
                </c:pt>
                <c:pt idx="6">
                  <c:v>1840</c:v>
                </c:pt>
                <c:pt idx="7">
                  <c:v>2006.8000000000002</c:v>
                </c:pt>
                <c:pt idx="8">
                  <c:v>2132.6000000000004</c:v>
                </c:pt>
                <c:pt idx="9">
                  <c:v>2288</c:v>
                </c:pt>
                <c:pt idx="10">
                  <c:v>2428.5</c:v>
                </c:pt>
                <c:pt idx="11">
                  <c:v>2491.6</c:v>
                </c:pt>
                <c:pt idx="12">
                  <c:v>2729.7</c:v>
                </c:pt>
                <c:pt idx="13">
                  <c:v>3330.7999999999997</c:v>
                </c:pt>
                <c:pt idx="14">
                  <c:v>3260.9</c:v>
                </c:pt>
                <c:pt idx="15">
                  <c:v>3373.1</c:v>
                </c:pt>
                <c:pt idx="16">
                  <c:v>3306.2</c:v>
                </c:pt>
                <c:pt idx="17">
                  <c:v>3234</c:v>
                </c:pt>
                <c:pt idx="18">
                  <c:v>3277.3</c:v>
                </c:pt>
                <c:pt idx="19">
                  <c:v>3468.6000000000004</c:v>
                </c:pt>
                <c:pt idx="20">
                  <c:v>3612.6</c:v>
                </c:pt>
                <c:pt idx="21">
                  <c:v>3719</c:v>
                </c:pt>
                <c:pt idx="22">
                  <c:v>3784</c:v>
                </c:pt>
                <c:pt idx="23">
                  <c:v>4071.8</c:v>
                </c:pt>
                <c:pt idx="24">
                  <c:v>6171.3</c:v>
                </c:pt>
                <c:pt idx="25">
                  <c:v>6468.4</c:v>
                </c:pt>
                <c:pt idx="26">
                  <c:v>5795.6</c:v>
                </c:pt>
                <c:pt idx="27">
                  <c:v>5470.0999999999995</c:v>
                </c:pt>
                <c:pt idx="28">
                  <c:v>5855.4000000000005</c:v>
                </c:pt>
                <c:pt idx="29">
                  <c:v>6041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C3CAD4"/>
                    </a:solidFill>
                    <a:prstDash val="solid"/>
                  </a:ln>
                </c14:spPr>
              </c14:invertSolidFillFmt>
            </c:ext>
            <c:ext xmlns:c16="http://schemas.microsoft.com/office/drawing/2014/chart" uri="{C3380CC4-5D6E-409C-BE32-E72D297353CC}">
              <c16:uniqueId val="{00000000-2280-417E-9660-29B33F0D4731}"/>
            </c:ext>
          </c:extLst>
        </c:ser>
        <c:ser>
          <c:idx val="1"/>
          <c:order val="1"/>
          <c:tx>
            <c:strRef>
              <c:f>'P&amp;L History'!$D$4</c:f>
              <c:strCache>
                <c:ptCount val="1"/>
                <c:pt idx="0">
                  <c:v>Net interest</c:v>
                </c:pt>
              </c:strCache>
            </c:strRef>
          </c:tx>
          <c:spPr>
            <a:solidFill>
              <a:srgbClr val="A31F34"/>
            </a:solidFill>
            <a:ln>
              <a:solidFill>
                <a:srgbClr val="A31F34"/>
              </a:solidFill>
              <a:prstDash val="solid"/>
            </a:ln>
          </c:spPr>
          <c:invertIfNegative val="1"/>
          <c:cat>
            <c:numRef>
              <c:f>'P&amp;L History'!$A$5:$A$34</c:f>
              <c:numCache>
                <c:formatCode>0</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'P&amp;L History'!$D$5:$D$34</c:f>
              <c:numCache>
                <c:formatCode>#,##0</c:formatCode>
                <c:ptCount val="30"/>
                <c:pt idx="0">
                  <c:v>241.1</c:v>
                </c:pt>
                <c:pt idx="1">
                  <c:v>244</c:v>
                </c:pt>
                <c:pt idx="2">
                  <c:v>241.1</c:v>
                </c:pt>
                <c:pt idx="3">
                  <c:v>229.8</c:v>
                </c:pt>
                <c:pt idx="4">
                  <c:v>222.9</c:v>
                </c:pt>
                <c:pt idx="5">
                  <c:v>206.2</c:v>
                </c:pt>
                <c:pt idx="6">
                  <c:v>170.9</c:v>
                </c:pt>
                <c:pt idx="7">
                  <c:v>153.1</c:v>
                </c:pt>
                <c:pt idx="8">
                  <c:v>160.19999999999999</c:v>
                </c:pt>
                <c:pt idx="9">
                  <c:v>184</c:v>
                </c:pt>
                <c:pt idx="10">
                  <c:v>226.6</c:v>
                </c:pt>
                <c:pt idx="11">
                  <c:v>237.1</c:v>
                </c:pt>
                <c:pt idx="12">
                  <c:v>252.8</c:v>
                </c:pt>
                <c:pt idx="13">
                  <c:v>186.9</c:v>
                </c:pt>
                <c:pt idx="14">
                  <c:v>196.2</c:v>
                </c:pt>
                <c:pt idx="15">
                  <c:v>230</c:v>
                </c:pt>
                <c:pt idx="16">
                  <c:v>220.4</c:v>
                </c:pt>
                <c:pt idx="17">
                  <c:v>220.9</c:v>
                </c:pt>
                <c:pt idx="18">
                  <c:v>229</c:v>
                </c:pt>
                <c:pt idx="19">
                  <c:v>223.2</c:v>
                </c:pt>
                <c:pt idx="20">
                  <c:v>240</c:v>
                </c:pt>
                <c:pt idx="21">
                  <c:v>262.60000000000002</c:v>
                </c:pt>
                <c:pt idx="22">
                  <c:v>325</c:v>
                </c:pt>
                <c:pt idx="23">
                  <c:v>375.2</c:v>
                </c:pt>
                <c:pt idx="24">
                  <c:v>345.5</c:v>
                </c:pt>
                <c:pt idx="25">
                  <c:v>352.3</c:v>
                </c:pt>
                <c:pt idx="26">
                  <c:v>475.9</c:v>
                </c:pt>
                <c:pt idx="27">
                  <c:v>658.3</c:v>
                </c:pt>
                <c:pt idx="28">
                  <c:v>879.9</c:v>
                </c:pt>
                <c:pt idx="29">
                  <c:v>970.1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A31F34"/>
                    </a:solidFill>
                    <a:prstDash val="solid"/>
                  </a:ln>
                </c14:spPr>
              </c14:invertSolidFillFmt>
            </c:ext>
            <c:ext xmlns:c16="http://schemas.microsoft.com/office/drawing/2014/chart" uri="{C3380CC4-5D6E-409C-BE32-E72D297353CC}">
              <c16:uniqueId val="{00000001-2280-417E-9660-29B33F0D4731}"/>
            </c:ext>
          </c:extLst>
        </c:ser>
        <c:dLbls>
          <c:showLegendKey val="0"/>
          <c:showVal val="0"/>
          <c:showCatName val="0"/>
          <c:showSerName val="0"/>
          <c:showPercent val="0"/>
          <c:showBubbleSize val="0"/>
        </c:dLbls>
        <c:gapWidth val="40"/>
        <c:overlap val="100"/>
        <c:axId val="10"/>
        <c:axId val="100"/>
      </c:barChart>
      <c:lineChart>
        <c:grouping val="standard"/>
        <c:varyColors val="1"/>
        <c:ser>
          <c:idx val="2"/>
          <c:order val="2"/>
          <c:tx>
            <c:strRef>
              <c:f>'P&amp;L History'!$B$4</c:f>
              <c:strCache>
                <c:ptCount val="1"/>
                <c:pt idx="0">
                  <c:v>Receipts</c:v>
                </c:pt>
              </c:strCache>
            </c:strRef>
          </c:tx>
          <c:spPr>
            <a:ln w="28575">
              <a:solidFill>
                <a:srgbClr val="1F3A5F"/>
              </a:solidFill>
              <a:prstDash val="solid"/>
            </a:ln>
          </c:spPr>
          <c:marker>
            <c:symbol val="none"/>
          </c:marker>
          <c:val>
            <c:numRef>
              <c:f>'P&amp;L History'!$B$5:$B$34</c:f>
              <c:numCache>
                <c:formatCode>#,##0</c:formatCode>
                <c:ptCount val="30"/>
                <c:pt idx="0">
                  <c:v>1453.1</c:v>
                </c:pt>
                <c:pt idx="1">
                  <c:v>1579.2</c:v>
                </c:pt>
                <c:pt idx="2">
                  <c:v>1721.7</c:v>
                </c:pt>
                <c:pt idx="3">
                  <c:v>1827.5</c:v>
                </c:pt>
                <c:pt idx="4">
                  <c:v>2025.2</c:v>
                </c:pt>
                <c:pt idx="5">
                  <c:v>1991.1</c:v>
                </c:pt>
                <c:pt idx="6">
                  <c:v>1853.1</c:v>
                </c:pt>
                <c:pt idx="7">
                  <c:v>1782.3</c:v>
                </c:pt>
                <c:pt idx="8">
                  <c:v>1880.1</c:v>
                </c:pt>
                <c:pt idx="9">
                  <c:v>2153.6</c:v>
                </c:pt>
                <c:pt idx="10">
                  <c:v>2406.9</c:v>
                </c:pt>
                <c:pt idx="11">
                  <c:v>2568</c:v>
                </c:pt>
                <c:pt idx="12">
                  <c:v>2524</c:v>
                </c:pt>
                <c:pt idx="13">
                  <c:v>2105</c:v>
                </c:pt>
                <c:pt idx="14">
                  <c:v>2162.6999999999998</c:v>
                </c:pt>
                <c:pt idx="15">
                  <c:v>2303.5</c:v>
                </c:pt>
                <c:pt idx="16">
                  <c:v>2450</c:v>
                </c:pt>
                <c:pt idx="17">
                  <c:v>2775.1</c:v>
                </c:pt>
                <c:pt idx="18">
                  <c:v>3021.5</c:v>
                </c:pt>
                <c:pt idx="19">
                  <c:v>3249.9</c:v>
                </c:pt>
                <c:pt idx="20">
                  <c:v>3268</c:v>
                </c:pt>
                <c:pt idx="21">
                  <c:v>3316.2</c:v>
                </c:pt>
                <c:pt idx="22">
                  <c:v>3329.9</c:v>
                </c:pt>
                <c:pt idx="23">
                  <c:v>3463.4</c:v>
                </c:pt>
                <c:pt idx="24">
                  <c:v>3421.2</c:v>
                </c:pt>
                <c:pt idx="25">
                  <c:v>4047.1</c:v>
                </c:pt>
                <c:pt idx="26">
                  <c:v>4897.3</c:v>
                </c:pt>
                <c:pt idx="27">
                  <c:v>4440.8999999999996</c:v>
                </c:pt>
                <c:pt idx="28">
                  <c:v>4919.8999999999996</c:v>
                </c:pt>
                <c:pt idx="29">
                  <c:v>5236.3999999999996</c:v>
                </c:pt>
              </c:numCache>
            </c:numRef>
          </c:val>
          <c:smooth val="0"/>
          <c:extLst>
            <c:ext xmlns:c16="http://schemas.microsoft.com/office/drawing/2014/chart" uri="{C3380CC4-5D6E-409C-BE32-E72D297353CC}">
              <c16:uniqueId val="{00000002-2280-417E-9660-29B33F0D4731}"/>
            </c:ext>
          </c:extLst>
        </c:ser>
        <c:dLbls>
          <c:showLegendKey val="0"/>
          <c:showVal val="0"/>
          <c:showCatName val="0"/>
          <c:showSerName val="0"/>
          <c:showPercent val="0"/>
          <c:showBubbleSize val="0"/>
        </c:dLbls>
        <c:marker val="1"/>
        <c:smooth val="0"/>
        <c:axId val="10"/>
        <c:axId val="100"/>
      </c:lineChart>
      <c:lineChart>
        <c:grouping val="standard"/>
        <c:varyColors val="1"/>
        <c:ser>
          <c:idx val="3"/>
          <c:order val="3"/>
          <c:tx>
            <c:strRef>
              <c:f>'P&amp;L History'!$J$4</c:f>
              <c:strCache>
                <c:ptCount val="1"/>
                <c:pt idx="0">
                  <c:v>Interest % of revenue</c:v>
                </c:pt>
              </c:strCache>
            </c:strRef>
          </c:tx>
          <c:spPr>
            <a:ln w="22225">
              <a:solidFill>
                <a:srgbClr val="D4A843"/>
              </a:solidFill>
              <a:prstDash val="dash"/>
            </a:ln>
          </c:spPr>
          <c:marker>
            <c:symbol val="none"/>
          </c:marker>
          <c:val>
            <c:numRef>
              <c:f>'P&amp;L History'!$J$5:$J$34</c:f>
              <c:numCache>
                <c:formatCode>0.0%</c:formatCode>
                <c:ptCount val="30"/>
                <c:pt idx="0">
                  <c:v>0.16592113412703874</c:v>
                </c:pt>
                <c:pt idx="1">
                  <c:v>0.15450861195542046</c:v>
                </c:pt>
                <c:pt idx="2">
                  <c:v>0.14003601091944007</c:v>
                </c:pt>
                <c:pt idx="3">
                  <c:v>0.12574555403556772</c:v>
                </c:pt>
                <c:pt idx="4">
                  <c:v>0.11006320363420896</c:v>
                </c:pt>
                <c:pt idx="5">
                  <c:v>0.10356084576364824</c:v>
                </c:pt>
                <c:pt idx="6">
                  <c:v>9.2223841131077663E-2</c:v>
                </c:pt>
                <c:pt idx="7">
                  <c:v>8.5900241261291588E-2</c:v>
                </c:pt>
                <c:pt idx="8">
                  <c:v>8.5208233604595493E-2</c:v>
                </c:pt>
                <c:pt idx="9">
                  <c:v>8.5438335809806837E-2</c:v>
                </c:pt>
                <c:pt idx="10">
                  <c:v>9.4145996925505834E-2</c:v>
                </c:pt>
                <c:pt idx="11">
                  <c:v>9.2328660436137064E-2</c:v>
                </c:pt>
                <c:pt idx="12">
                  <c:v>0.10015847860538828</c:v>
                </c:pt>
                <c:pt idx="13">
                  <c:v>8.8788598574821853E-2</c:v>
                </c:pt>
                <c:pt idx="14">
                  <c:v>9.0719933416562634E-2</c:v>
                </c:pt>
                <c:pt idx="15">
                  <c:v>9.9848057304102456E-2</c:v>
                </c:pt>
                <c:pt idx="16">
                  <c:v>8.9959183673469389E-2</c:v>
                </c:pt>
                <c:pt idx="17">
                  <c:v>7.9600735108644738E-2</c:v>
                </c:pt>
                <c:pt idx="18">
                  <c:v>7.5790170445143135E-2</c:v>
                </c:pt>
                <c:pt idx="19">
                  <c:v>6.8679036278039313E-2</c:v>
                </c:pt>
                <c:pt idx="20">
                  <c:v>7.3439412484700123E-2</c:v>
                </c:pt>
                <c:pt idx="21">
                  <c:v>7.9187021289427673E-2</c:v>
                </c:pt>
                <c:pt idx="22">
                  <c:v>9.7600528544400725E-2</c:v>
                </c:pt>
                <c:pt idx="23">
                  <c:v>0.10833285211064271</c:v>
                </c:pt>
                <c:pt idx="24">
                  <c:v>0.10098795744183328</c:v>
                </c:pt>
                <c:pt idx="25">
                  <c:v>8.7049986410021998E-2</c:v>
                </c:pt>
                <c:pt idx="26">
                  <c:v>9.7175994935985124E-2</c:v>
                </c:pt>
                <c:pt idx="27">
                  <c:v>0.14823571798509311</c:v>
                </c:pt>
                <c:pt idx="28">
                  <c:v>0.17884509847761135</c:v>
                </c:pt>
                <c:pt idx="29">
                  <c:v>0.18526086624398444</c:v>
                </c:pt>
              </c:numCache>
            </c:numRef>
          </c:val>
          <c:smooth val="0"/>
          <c:extLst>
            <c:ext xmlns:c16="http://schemas.microsoft.com/office/drawing/2014/chart" uri="{C3380CC4-5D6E-409C-BE32-E72D297353CC}">
              <c16:uniqueId val="{00000003-2280-417E-9660-29B33F0D4731}"/>
            </c:ext>
          </c:extLst>
        </c:ser>
        <c:dLbls>
          <c:showLegendKey val="0"/>
          <c:showVal val="0"/>
          <c:showCatName val="0"/>
          <c:showSerName val="0"/>
          <c:showPercent val="0"/>
          <c:showBubbleSize val="0"/>
        </c:dLbls>
        <c:marker val="1"/>
        <c:smooth val="0"/>
        <c:axId val="10"/>
        <c:axId val="200"/>
      </c:lineChart>
      <c:catAx>
        <c:axId val="10"/>
        <c:scaling>
          <c:orientation val="minMax"/>
        </c:scaling>
        <c:delete val="0"/>
        <c:axPos val="b"/>
        <c:numFmt formatCode="General" sourceLinked="0"/>
        <c:majorTickMark val="out"/>
        <c:minorTickMark val="none"/>
        <c:tickLblPos val="low"/>
        <c:crossAx val="100"/>
        <c:crosses val="autoZero"/>
        <c:auto val="1"/>
        <c:lblAlgn val="ctr"/>
        <c:lblOffset val="100"/>
        <c:noMultiLvlLbl val="1"/>
      </c:catAx>
      <c:valAx>
        <c:axId val="100"/>
        <c:scaling>
          <c:orientation val="minMax"/>
          <c:max val="8000"/>
          <c:min val="0"/>
        </c:scaling>
        <c:delete val="0"/>
        <c:axPos val="l"/>
        <c:majorGridlines/>
        <c:title>
          <c:tx>
            <c:rich>
              <a:bodyPr/>
              <a:lstStyle/>
              <a:p>
                <a:pPr>
                  <a:defRPr/>
                </a:pPr>
                <a:r>
                  <a:rPr lang="en-US"/>
                  <a:t>$ billions</a:t>
                </a:r>
              </a:p>
            </c:rich>
          </c:tx>
          <c:overlay val="1"/>
        </c:title>
        <c:numFmt formatCode="#,##0" sourceLinked="0"/>
        <c:majorTickMark val="out"/>
        <c:minorTickMark val="none"/>
        <c:tickLblPos val="nextTo"/>
        <c:crossAx val="10"/>
        <c:crosses val="autoZero"/>
        <c:crossBetween val="between"/>
        <c:majorUnit val="1000"/>
      </c:valAx>
      <c:valAx>
        <c:axId val="200"/>
        <c:scaling>
          <c:orientation val="minMax"/>
          <c:max val="0.25"/>
          <c:min val="0"/>
        </c:scaling>
        <c:delete val="0"/>
        <c:axPos val="r"/>
        <c:title>
          <c:tx>
            <c:rich>
              <a:bodyPr/>
              <a:lstStyle/>
              <a:p>
                <a:pPr>
                  <a:defRPr/>
                </a:pPr>
                <a:r>
                  <a:rPr lang="en-US"/>
                  <a:t>Net interest as % of receipts</a:t>
                </a:r>
              </a:p>
            </c:rich>
          </c:tx>
          <c:overlay val="1"/>
        </c:title>
        <c:numFmt formatCode="0%" sourceLinked="0"/>
        <c:majorTickMark val="none"/>
        <c:minorTickMark val="none"/>
        <c:tickLblPos val="nextTo"/>
        <c:crossAx val="10"/>
        <c:crosses val="max"/>
        <c:crossBetween val="between"/>
        <c:majorUnit val="0.05"/>
      </c:valAx>
    </c:plotArea>
    <c:legend>
      <c:legendPos val="b"/>
      <c:overlay val="0"/>
    </c:legend>
    <c:plotVisOnly val="1"/>
    <c:dispBlanksAs val="gap"/>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Intragovernmental Holdings by Fund ($ billions), June 30, 2026</a:t>
            </a:r>
          </a:p>
        </c:rich>
      </c:tx>
      <c:overlay val="1"/>
    </c:title>
    <c:autoTitleDeleted val="0"/>
    <c:plotArea>
      <c:layout>
        <c:manualLayout>
          <c:layoutTarget val="inner"/>
          <c:xMode val="edge"/>
          <c:yMode val="edge"/>
          <c:x val="0.02"/>
          <c:y val="0.14000000000000001"/>
          <c:w val="0.42"/>
          <c:h val="0.78"/>
        </c:manualLayout>
      </c:layout>
      <c:doughnutChart>
        <c:varyColors val="1"/>
        <c:ser>
          <c:idx val="0"/>
          <c:order val="0"/>
          <c:spPr>
            <a:ln>
              <a:prstDash val="solid"/>
            </a:ln>
          </c:spPr>
          <c:cat>
            <c:strRef>
              <c:f>Intragovernmental!$C$5:$C$13</c:f>
              <c:strCache>
                <c:ptCount val="9"/>
                <c:pt idx="0">
                  <c:v>Social Security: Old-Age &amp; Survivors (OASI)  $2,268B</c:v>
                </c:pt>
                <c:pt idx="1">
                  <c:v>Military Retirement Fund  $2,117B</c:v>
                </c:pt>
                <c:pt idx="2">
                  <c:v>Civil Service Retirement &amp; Disability Fund  $1,096B</c:v>
                </c:pt>
                <c:pt idx="3">
                  <c:v>DoD Medicare-Eligible Retiree Health Care Fund  $505B</c:v>
                </c:pt>
                <c:pt idx="4">
                  <c:v>Medicare Hospital Insurance (HI)  $278B</c:v>
                </c:pt>
                <c:pt idx="5">
                  <c:v>Social Security: Disability Insurance (DI)  $254B</c:v>
                </c:pt>
                <c:pt idx="6">
                  <c:v>FHA Mutual Mortgage Insurance Fund  $192B</c:v>
                </c:pt>
                <c:pt idx="7">
                  <c:v>Medicare Supplementary Medical Insurance (SMI)  $191B</c:v>
                </c:pt>
                <c:pt idx="8">
                  <c:v>All other funds and instruments (residual)  $879B</c:v>
                </c:pt>
              </c:strCache>
            </c:strRef>
          </c:cat>
          <c:val>
            <c:numRef>
              <c:f>Intragovernmental!$B$5:$B$13</c:f>
              <c:numCache>
                <c:formatCode>#,##0</c:formatCode>
                <c:ptCount val="9"/>
                <c:pt idx="0">
                  <c:v>2268.181</c:v>
                </c:pt>
                <c:pt idx="1">
                  <c:v>2117.2910000000002</c:v>
                </c:pt>
                <c:pt idx="2">
                  <c:v>1095.538</c:v>
                </c:pt>
                <c:pt idx="3">
                  <c:v>505.26499999999999</c:v>
                </c:pt>
                <c:pt idx="4">
                  <c:v>277.92599999999999</c:v>
                </c:pt>
                <c:pt idx="5">
                  <c:v>253.81200000000001</c:v>
                </c:pt>
                <c:pt idx="6">
                  <c:v>192.39099999999999</c:v>
                </c:pt>
                <c:pt idx="7">
                  <c:v>191.37299999999999</c:v>
                </c:pt>
                <c:pt idx="8">
                  <c:v>879.3130000000001</c:v>
                </c:pt>
              </c:numCache>
            </c:numRef>
          </c:val>
          <c:extLst>
            <c:ext xmlns:c16="http://schemas.microsoft.com/office/drawing/2014/chart" uri="{C3380CC4-5D6E-409C-BE32-E72D297353CC}">
              <c16:uniqueId val="{00000000-526D-4B33-AB1B-97C438B80E34}"/>
            </c:ext>
          </c:extLst>
        </c:ser>
        <c:dLbls>
          <c:showLegendKey val="0"/>
          <c:showVal val="0"/>
          <c:showCatName val="0"/>
          <c:showSerName val="0"/>
          <c:showPercent val="0"/>
          <c:showBubbleSize val="0"/>
          <c:showLeaderLines val="1"/>
        </c:dLbls>
        <c:firstSliceAng val="0"/>
        <c:holeSize val="52"/>
      </c:doughnutChart>
    </c:plotArea>
    <c:legend>
      <c:legendPos val="r"/>
      <c:overlay val="0"/>
    </c:legend>
    <c:plotVisOnly val="1"/>
    <c:dispBlanksAs val="gap"/>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Total U.S. Debt by Sector as % of GDP, FY1996-FY2025</a:t>
            </a:r>
          </a:p>
        </c:rich>
      </c:tx>
      <c:overlay val="1"/>
    </c:title>
    <c:autoTitleDeleted val="0"/>
    <c:plotArea>
      <c:layout>
        <c:manualLayout>
          <c:layoutTarget val="inner"/>
          <c:xMode val="edge"/>
          <c:yMode val="edge"/>
          <c:x val="0.09"/>
          <c:y val="0.12"/>
          <c:w val="0.86"/>
          <c:h val="0.66"/>
        </c:manualLayout>
      </c:layout>
      <c:barChart>
        <c:barDir val="col"/>
        <c:grouping val="stacked"/>
        <c:varyColors val="1"/>
        <c:ser>
          <c:idx val="0"/>
          <c:order val="0"/>
          <c:tx>
            <c:strRef>
              <c:f>'Sector Debt'!$A$145</c:f>
              <c:strCache>
                <c:ptCount val="1"/>
                <c:pt idx="0">
                  <c:v>Federal (gross)</c:v>
                </c:pt>
              </c:strCache>
            </c:strRef>
          </c:tx>
          <c:spPr>
            <a:solidFill>
              <a:srgbClr val="A31F34"/>
            </a:solidFill>
            <a:ln>
              <a:solidFill>
                <a:srgbClr val="A31F34"/>
              </a:solidFill>
              <a:prstDash val="solid"/>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'Sector Debt'!$B$144:$H$144</c:f>
              <c:strCache>
                <c:ptCount val="7"/>
                <c:pt idx="0">
                  <c:v>FY1996</c:v>
                </c:pt>
                <c:pt idx="1">
                  <c:v>FY2000</c:v>
                </c:pt>
                <c:pt idx="2">
                  <c:v>FY2005</c:v>
                </c:pt>
                <c:pt idx="3">
                  <c:v>FY2010</c:v>
                </c:pt>
                <c:pt idx="4">
                  <c:v>FY2015</c:v>
                </c:pt>
                <c:pt idx="5">
                  <c:v>FY2020</c:v>
                </c:pt>
                <c:pt idx="6">
                  <c:v>FY2025</c:v>
                </c:pt>
              </c:strCache>
            </c:strRef>
          </c:cat>
          <c:val>
            <c:numRef>
              <c:f>'Sector Debt'!$B$145:$H$145</c:f>
              <c:numCache>
                <c:formatCode>0.0%</c:formatCode>
                <c:ptCount val="7"/>
                <c:pt idx="0">
                  <c:v>0.64254617900976463</c:v>
                </c:pt>
                <c:pt idx="1">
                  <c:v>0.54992149793568645</c:v>
                </c:pt>
                <c:pt idx="2">
                  <c:v>0.60358680930713859</c:v>
                </c:pt>
                <c:pt idx="3">
                  <c:v>0.89565171448195702</c:v>
                </c:pt>
                <c:pt idx="4">
                  <c:v>0.98635988174941314</c:v>
                </c:pt>
                <c:pt idx="5">
                  <c:v>1.2414717753082325</c:v>
                </c:pt>
                <c:pt idx="6">
                  <c:v>1.2102900508071257</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A31F34"/>
                    </a:solidFill>
                    <a:prstDash val="solid"/>
                  </a:ln>
                </c14:spPr>
              </c14:invertSolidFillFmt>
            </c:ext>
            <c:ext xmlns:c16="http://schemas.microsoft.com/office/drawing/2014/chart" uri="{C3380CC4-5D6E-409C-BE32-E72D297353CC}">
              <c16:uniqueId val="{00000000-076D-44D3-99D6-7C4B25E945DE}"/>
            </c:ext>
          </c:extLst>
        </c:ser>
        <c:ser>
          <c:idx val="1"/>
          <c:order val="1"/>
          <c:tx>
            <c:strRef>
              <c:f>'Sector Debt'!$A$146</c:f>
              <c:strCache>
                <c:ptCount val="1"/>
                <c:pt idx="0">
                  <c:v>Business</c:v>
                </c:pt>
              </c:strCache>
            </c:strRef>
          </c:tx>
          <c:spPr>
            <a:solidFill>
              <a:srgbClr val="D4A843"/>
            </a:solidFill>
            <a:ln>
              <a:solidFill>
                <a:srgbClr val="D4A843"/>
              </a:solidFill>
              <a:prstDash val="solid"/>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'Sector Debt'!$B$144:$H$144</c:f>
              <c:strCache>
                <c:ptCount val="7"/>
                <c:pt idx="0">
                  <c:v>FY1996</c:v>
                </c:pt>
                <c:pt idx="1">
                  <c:v>FY2000</c:v>
                </c:pt>
                <c:pt idx="2">
                  <c:v>FY2005</c:v>
                </c:pt>
                <c:pt idx="3">
                  <c:v>FY2010</c:v>
                </c:pt>
                <c:pt idx="4">
                  <c:v>FY2015</c:v>
                </c:pt>
                <c:pt idx="5">
                  <c:v>FY2020</c:v>
                </c:pt>
                <c:pt idx="6">
                  <c:v>FY2025</c:v>
                </c:pt>
              </c:strCache>
            </c:strRef>
          </c:cat>
          <c:val>
            <c:numRef>
              <c:f>'Sector Debt'!$B$146:$H$146</c:f>
              <c:numCache>
                <c:formatCode>0.0%</c:formatCode>
                <c:ptCount val="7"/>
                <c:pt idx="0">
                  <c:v>0.55558698379122906</c:v>
                </c:pt>
                <c:pt idx="1">
                  <c:v>0.64511251962551597</c:v>
                </c:pt>
                <c:pt idx="2">
                  <c:v>0.62949492490070458</c:v>
                </c:pt>
                <c:pt idx="3">
                  <c:v>0.68946478575579861</c:v>
                </c:pt>
                <c:pt idx="4">
                  <c:v>0.72290996435092614</c:v>
                </c:pt>
                <c:pt idx="5">
                  <c:v>0.84780505335323697</c:v>
                </c:pt>
                <c:pt idx="6">
                  <c:v>0.70843462602096607</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D4A843"/>
                    </a:solidFill>
                    <a:prstDash val="solid"/>
                  </a:ln>
                </c14:spPr>
              </c14:invertSolidFillFmt>
            </c:ext>
            <c:ext xmlns:c16="http://schemas.microsoft.com/office/drawing/2014/chart" uri="{C3380CC4-5D6E-409C-BE32-E72D297353CC}">
              <c16:uniqueId val="{00000001-076D-44D3-99D6-7C4B25E945DE}"/>
            </c:ext>
          </c:extLst>
        </c:ser>
        <c:ser>
          <c:idx val="2"/>
          <c:order val="2"/>
          <c:tx>
            <c:strRef>
              <c:f>'Sector Debt'!$A$147</c:f>
              <c:strCache>
                <c:ptCount val="1"/>
                <c:pt idx="0">
                  <c:v>Household</c:v>
                </c:pt>
              </c:strCache>
            </c:strRef>
          </c:tx>
          <c:spPr>
            <a:solidFill>
              <a:srgbClr val="1F3A5F"/>
            </a:solidFill>
            <a:ln>
              <a:solidFill>
                <a:srgbClr val="1F3A5F"/>
              </a:solidFill>
              <a:prstDash val="solid"/>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'Sector Debt'!$B$144:$H$144</c:f>
              <c:strCache>
                <c:ptCount val="7"/>
                <c:pt idx="0">
                  <c:v>FY1996</c:v>
                </c:pt>
                <c:pt idx="1">
                  <c:v>FY2000</c:v>
                </c:pt>
                <c:pt idx="2">
                  <c:v>FY2005</c:v>
                </c:pt>
                <c:pt idx="3">
                  <c:v>FY2010</c:v>
                </c:pt>
                <c:pt idx="4">
                  <c:v>FY2015</c:v>
                </c:pt>
                <c:pt idx="5">
                  <c:v>FY2020</c:v>
                </c:pt>
                <c:pt idx="6">
                  <c:v>FY2025</c:v>
                </c:pt>
              </c:strCache>
            </c:strRef>
          </c:cat>
          <c:val>
            <c:numRef>
              <c:f>'Sector Debt'!$B$147:$H$147</c:f>
              <c:numCache>
                <c:formatCode>0.0%</c:formatCode>
                <c:ptCount val="7"/>
                <c:pt idx="0">
                  <c:v>0.64402193964139021</c:v>
                </c:pt>
                <c:pt idx="1">
                  <c:v>0.69201992595607753</c:v>
                </c:pt>
                <c:pt idx="2">
                  <c:v>0.89455663262976881</c:v>
                </c:pt>
                <c:pt idx="3">
                  <c:v>0.91086146774449195</c:v>
                </c:pt>
                <c:pt idx="4">
                  <c:v>0.76613990087818462</c:v>
                </c:pt>
                <c:pt idx="5">
                  <c:v>0.75498055693776378</c:v>
                </c:pt>
                <c:pt idx="6">
                  <c:v>0.6680204514759791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1F3A5F"/>
                    </a:solidFill>
                    <a:prstDash val="solid"/>
                  </a:ln>
                </c14:spPr>
              </c14:invertSolidFillFmt>
            </c:ext>
            <c:ext xmlns:c16="http://schemas.microsoft.com/office/drawing/2014/chart" uri="{C3380CC4-5D6E-409C-BE32-E72D297353CC}">
              <c16:uniqueId val="{00000002-076D-44D3-99D6-7C4B25E945DE}"/>
            </c:ext>
          </c:extLst>
        </c:ser>
        <c:ser>
          <c:idx val="3"/>
          <c:order val="3"/>
          <c:tx>
            <c:strRef>
              <c:f>'Sector Debt'!$A$148</c:f>
              <c:strCache>
                <c:ptCount val="1"/>
                <c:pt idx="0">
                  <c:v>State &amp; local</c:v>
                </c:pt>
              </c:strCache>
            </c:strRef>
          </c:tx>
          <c:spPr>
            <a:solidFill>
              <a:srgbClr val="75787B"/>
            </a:solidFill>
            <a:ln>
              <a:solidFill>
                <a:srgbClr val="75787B"/>
              </a:solidFill>
              <a:prstDash val="solid"/>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'Sector Debt'!$B$144:$H$144</c:f>
              <c:strCache>
                <c:ptCount val="7"/>
                <c:pt idx="0">
                  <c:v>FY1996</c:v>
                </c:pt>
                <c:pt idx="1">
                  <c:v>FY2000</c:v>
                </c:pt>
                <c:pt idx="2">
                  <c:v>FY2005</c:v>
                </c:pt>
                <c:pt idx="3">
                  <c:v>FY2010</c:v>
                </c:pt>
                <c:pt idx="4">
                  <c:v>FY2015</c:v>
                </c:pt>
                <c:pt idx="5">
                  <c:v>FY2020</c:v>
                </c:pt>
                <c:pt idx="6">
                  <c:v>FY2025</c:v>
                </c:pt>
              </c:strCache>
            </c:strRef>
          </c:cat>
          <c:val>
            <c:numRef>
              <c:f>'Sector Debt'!$B$148:$H$148</c:f>
              <c:numCache>
                <c:formatCode>0.0%</c:formatCode>
                <c:ptCount val="7"/>
                <c:pt idx="0">
                  <c:v>0.12813291684088843</c:v>
                </c:pt>
                <c:pt idx="1">
                  <c:v>0.11678393518249307</c:v>
                </c:pt>
                <c:pt idx="2">
                  <c:v>0.20131480833320653</c:v>
                </c:pt>
                <c:pt idx="3">
                  <c:v>0.21243461721350451</c:v>
                </c:pt>
                <c:pt idx="4">
                  <c:v>0.17671289453091038</c:v>
                </c:pt>
                <c:pt idx="5">
                  <c:v>0.15471056559960192</c:v>
                </c:pt>
                <c:pt idx="6">
                  <c:v>0.11792719789053958</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75787B"/>
                    </a:solidFill>
                    <a:prstDash val="solid"/>
                  </a:ln>
                </c14:spPr>
              </c14:invertSolidFillFmt>
            </c:ext>
            <c:ext xmlns:c16="http://schemas.microsoft.com/office/drawing/2014/chart" uri="{C3380CC4-5D6E-409C-BE32-E72D297353CC}">
              <c16:uniqueId val="{00000003-076D-44D3-99D6-7C4B25E945DE}"/>
            </c:ext>
          </c:extLst>
        </c:ser>
        <c:dLbls>
          <c:showLegendKey val="0"/>
          <c:showVal val="1"/>
          <c:showCatName val="0"/>
          <c:showSerName val="0"/>
          <c:showPercent val="0"/>
          <c:showBubbleSize val="0"/>
        </c:dLbls>
        <c:gapWidth val="40"/>
        <c:overlap val="100"/>
        <c:axId val="10"/>
        <c:axId val="100"/>
      </c:barChart>
      <c:catAx>
        <c:axId val="10"/>
        <c:scaling>
          <c:orientation val="minMax"/>
        </c:scaling>
        <c:delete val="0"/>
        <c:axPos val="b"/>
        <c:numFmt formatCode="General" sourceLinked="1"/>
        <c:majorTickMark val="out"/>
        <c:minorTickMark val="none"/>
        <c:tickLblPos val="low"/>
        <c:crossAx val="100"/>
        <c:crosses val="autoZero"/>
        <c:auto val="1"/>
        <c:lblAlgn val="ctr"/>
        <c:lblOffset val="100"/>
        <c:noMultiLvlLbl val="1"/>
      </c:catAx>
      <c:valAx>
        <c:axId val="100"/>
        <c:scaling>
          <c:orientation val="minMax"/>
          <c:max val="3.25"/>
          <c:min val="0"/>
        </c:scaling>
        <c:delete val="0"/>
        <c:axPos val="l"/>
        <c:majorGridlines/>
        <c:title>
          <c:tx>
            <c:rich>
              <a:bodyPr/>
              <a:lstStyle/>
              <a:p>
                <a:pPr>
                  <a:defRPr/>
                </a:pPr>
                <a:r>
                  <a:rPr lang="en-US"/>
                  <a:t>Debt as % of GDP</a:t>
                </a:r>
              </a:p>
            </c:rich>
          </c:tx>
          <c:overlay val="1"/>
        </c:title>
        <c:numFmt formatCode="0%" sourceLinked="0"/>
        <c:majorTickMark val="out"/>
        <c:minorTickMark val="none"/>
        <c:tickLblPos val="nextTo"/>
        <c:crossAx val="10"/>
        <c:crosses val="autoZero"/>
        <c:crossBetween val="between"/>
        <c:majorUnit val="0.5"/>
      </c:valAx>
    </c:plotArea>
    <c:legend>
      <c:legendPos val="b"/>
      <c:overlay val="0"/>
    </c:legend>
    <c:plotVisOnly val="1"/>
    <c:dispBlanksAs val="gap"/>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Total U.S. Debt by Sector, FY1996-FY2025 ($ billions)</a:t>
            </a:r>
          </a:p>
        </c:rich>
      </c:tx>
      <c:overlay val="1"/>
    </c:title>
    <c:autoTitleDeleted val="0"/>
    <c:plotArea>
      <c:layout>
        <c:manualLayout>
          <c:layoutTarget val="inner"/>
          <c:xMode val="edge"/>
          <c:yMode val="edge"/>
          <c:x val="0.09"/>
          <c:y val="0.12"/>
          <c:w val="0.86"/>
          <c:h val="0.64"/>
        </c:manualLayout>
      </c:layout>
      <c:barChart>
        <c:barDir val="col"/>
        <c:grouping val="stacked"/>
        <c:varyColors val="1"/>
        <c:ser>
          <c:idx val="0"/>
          <c:order val="0"/>
          <c:tx>
            <c:strRef>
              <c:f>'Sector Debt'!$A$131</c:f>
              <c:strCache>
                <c:ptCount val="1"/>
                <c:pt idx="0">
                  <c:v>Federal debt held by the public (OMB 7.1)</c:v>
                </c:pt>
              </c:strCache>
            </c:strRef>
          </c:tx>
          <c:spPr>
            <a:solidFill>
              <a:srgbClr val="A31F34"/>
            </a:solidFill>
            <a:ln>
              <a:solidFill>
                <a:srgbClr val="A31F34"/>
              </a:solidFill>
              <a:prstDash val="solid"/>
            </a:ln>
          </c:spPr>
          <c:invertIfNegative val="1"/>
          <c:cat>
            <c:strRef>
              <c:f>'Sector Debt'!$B$130:$E$130</c:f>
              <c:strCache>
                <c:ptCount val="4"/>
                <c:pt idx="0">
                  <c:v>FY1996</c:v>
                </c:pt>
                <c:pt idx="1">
                  <c:v>FY2005</c:v>
                </c:pt>
                <c:pt idx="2">
                  <c:v>FY2015</c:v>
                </c:pt>
                <c:pt idx="3">
                  <c:v>FY2025</c:v>
                </c:pt>
              </c:strCache>
            </c:strRef>
          </c:cat>
          <c:val>
            <c:numRef>
              <c:f>'Sector Debt'!$B$131:$E$131</c:f>
              <c:numCache>
                <c:formatCode>#,##0.0</c:formatCode>
                <c:ptCount val="4"/>
                <c:pt idx="0">
                  <c:v>3734.0729999999999</c:v>
                </c:pt>
                <c:pt idx="1">
                  <c:v>4592.2120000000004</c:v>
                </c:pt>
                <c:pt idx="2">
                  <c:v>13116.691999999999</c:v>
                </c:pt>
                <c:pt idx="3">
                  <c:v>30167.223999999998</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A31F34"/>
                    </a:solidFill>
                    <a:prstDash val="solid"/>
                  </a:ln>
                </c14:spPr>
              </c14:invertSolidFillFmt>
            </c:ext>
            <c:ext xmlns:c16="http://schemas.microsoft.com/office/drawing/2014/chart" uri="{C3380CC4-5D6E-409C-BE32-E72D297353CC}">
              <c16:uniqueId val="{00000000-3036-4E43-A030-9E6451A75301}"/>
            </c:ext>
          </c:extLst>
        </c:ser>
        <c:ser>
          <c:idx val="1"/>
          <c:order val="1"/>
          <c:tx>
            <c:strRef>
              <c:f>'Sector Debt'!$A$132</c:f>
              <c:strCache>
                <c:ptCount val="1"/>
                <c:pt idx="0">
                  <c:v>Intragovernmental holdings (OMB 7.1)</c:v>
                </c:pt>
              </c:strCache>
            </c:strRef>
          </c:tx>
          <c:spPr>
            <a:solidFill>
              <a:srgbClr val="C96A78"/>
            </a:solidFill>
            <a:ln>
              <a:solidFill>
                <a:srgbClr val="C96A78"/>
              </a:solidFill>
              <a:prstDash val="solid"/>
            </a:ln>
          </c:spPr>
          <c:invertIfNegative val="1"/>
          <c:cat>
            <c:strRef>
              <c:f>'Sector Debt'!$B$130:$E$130</c:f>
              <c:strCache>
                <c:ptCount val="4"/>
                <c:pt idx="0">
                  <c:v>FY1996</c:v>
                </c:pt>
                <c:pt idx="1">
                  <c:v>FY2005</c:v>
                </c:pt>
                <c:pt idx="2">
                  <c:v>FY2015</c:v>
                </c:pt>
                <c:pt idx="3">
                  <c:v>FY2025</c:v>
                </c:pt>
              </c:strCache>
            </c:strRef>
          </c:cat>
          <c:val>
            <c:numRef>
              <c:f>'Sector Debt'!$B$132:$E$132</c:f>
              <c:numCache>
                <c:formatCode>#,##0.0</c:formatCode>
                <c:ptCount val="4"/>
                <c:pt idx="0">
                  <c:v>1447.3920000000001</c:v>
                </c:pt>
                <c:pt idx="1">
                  <c:v>3313.0880000000002</c:v>
                </c:pt>
                <c:pt idx="2">
                  <c:v>5003.4139999999998</c:v>
                </c:pt>
                <c:pt idx="3">
                  <c:v>7207.74</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C96A78"/>
                    </a:solidFill>
                    <a:prstDash val="solid"/>
                  </a:ln>
                </c14:spPr>
              </c14:invertSolidFillFmt>
            </c:ext>
            <c:ext xmlns:c16="http://schemas.microsoft.com/office/drawing/2014/chart" uri="{C3380CC4-5D6E-409C-BE32-E72D297353CC}">
              <c16:uniqueId val="{00000001-3036-4E43-A030-9E6451A75301}"/>
            </c:ext>
          </c:extLst>
        </c:ser>
        <c:ser>
          <c:idx val="2"/>
          <c:order val="2"/>
          <c:tx>
            <c:strRef>
              <c:f>'Sector Debt'!$A$134</c:f>
              <c:strCache>
                <c:ptCount val="1"/>
                <c:pt idx="0">
                  <c:v>Business (Z.1 Q3)</c:v>
                </c:pt>
              </c:strCache>
            </c:strRef>
          </c:tx>
          <c:spPr>
            <a:solidFill>
              <a:srgbClr val="D4A843"/>
            </a:solidFill>
            <a:ln>
              <a:solidFill>
                <a:srgbClr val="D4A843"/>
              </a:solidFill>
              <a:prstDash val="solid"/>
            </a:ln>
          </c:spPr>
          <c:invertIfNegative val="1"/>
          <c:cat>
            <c:strRef>
              <c:f>'Sector Debt'!$B$130:$E$130</c:f>
              <c:strCache>
                <c:ptCount val="4"/>
                <c:pt idx="0">
                  <c:v>FY1996</c:v>
                </c:pt>
                <c:pt idx="1">
                  <c:v>FY2005</c:v>
                </c:pt>
                <c:pt idx="2">
                  <c:v>FY2015</c:v>
                </c:pt>
                <c:pt idx="3">
                  <c:v>FY2025</c:v>
                </c:pt>
              </c:strCache>
            </c:strRef>
          </c:cat>
          <c:val>
            <c:numRef>
              <c:f>'Sector Debt'!$B$134:$E$134</c:f>
              <c:numCache>
                <c:formatCode>#,##0.0</c:formatCode>
                <c:ptCount val="4"/>
                <c:pt idx="0">
                  <c:v>4517.7</c:v>
                </c:pt>
                <c:pt idx="1">
                  <c:v>8273.2000000000007</c:v>
                </c:pt>
                <c:pt idx="2">
                  <c:v>13302.7</c:v>
                </c:pt>
                <c:pt idx="3">
                  <c:v>22030.9</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D4A843"/>
                    </a:solidFill>
                    <a:prstDash val="solid"/>
                  </a:ln>
                </c14:spPr>
              </c14:invertSolidFillFmt>
            </c:ext>
            <c:ext xmlns:c16="http://schemas.microsoft.com/office/drawing/2014/chart" uri="{C3380CC4-5D6E-409C-BE32-E72D297353CC}">
              <c16:uniqueId val="{00000002-3036-4E43-A030-9E6451A75301}"/>
            </c:ext>
          </c:extLst>
        </c:ser>
        <c:ser>
          <c:idx val="3"/>
          <c:order val="3"/>
          <c:tx>
            <c:strRef>
              <c:f>'Sector Debt'!$A$135</c:f>
              <c:strCache>
                <c:ptCount val="1"/>
                <c:pt idx="0">
                  <c:v>Household (Z.1 Q3)</c:v>
                </c:pt>
              </c:strCache>
            </c:strRef>
          </c:tx>
          <c:spPr>
            <a:solidFill>
              <a:srgbClr val="1F3A5F"/>
            </a:solidFill>
            <a:ln>
              <a:solidFill>
                <a:srgbClr val="1F3A5F"/>
              </a:solidFill>
              <a:prstDash val="solid"/>
            </a:ln>
          </c:spPr>
          <c:invertIfNegative val="1"/>
          <c:cat>
            <c:strRef>
              <c:f>'Sector Debt'!$B$130:$E$130</c:f>
              <c:strCache>
                <c:ptCount val="4"/>
                <c:pt idx="0">
                  <c:v>FY1996</c:v>
                </c:pt>
                <c:pt idx="1">
                  <c:v>FY2005</c:v>
                </c:pt>
                <c:pt idx="2">
                  <c:v>FY2015</c:v>
                </c:pt>
                <c:pt idx="3">
                  <c:v>FY2025</c:v>
                </c:pt>
              </c:strCache>
            </c:strRef>
          </c:cat>
          <c:val>
            <c:numRef>
              <c:f>'Sector Debt'!$B$135:$E$135</c:f>
              <c:numCache>
                <c:formatCode>#,##0.0</c:formatCode>
                <c:ptCount val="4"/>
                <c:pt idx="0">
                  <c:v>5236.8</c:v>
                </c:pt>
                <c:pt idx="1">
                  <c:v>11756.8</c:v>
                </c:pt>
                <c:pt idx="2">
                  <c:v>14098.2</c:v>
                </c:pt>
                <c:pt idx="3">
                  <c:v>20774.099999999999</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1F3A5F"/>
                    </a:solidFill>
                    <a:prstDash val="solid"/>
                  </a:ln>
                </c14:spPr>
              </c14:invertSolidFillFmt>
            </c:ext>
            <c:ext xmlns:c16="http://schemas.microsoft.com/office/drawing/2014/chart" uri="{C3380CC4-5D6E-409C-BE32-E72D297353CC}">
              <c16:uniqueId val="{00000003-3036-4E43-A030-9E6451A75301}"/>
            </c:ext>
          </c:extLst>
        </c:ser>
        <c:ser>
          <c:idx val="4"/>
          <c:order val="4"/>
          <c:tx>
            <c:strRef>
              <c:f>'Sector Debt'!$A$136</c:f>
              <c:strCache>
                <c:ptCount val="1"/>
                <c:pt idx="0">
                  <c:v>State &amp; local (Z.1 Q3)</c:v>
                </c:pt>
              </c:strCache>
            </c:strRef>
          </c:tx>
          <c:spPr>
            <a:solidFill>
              <a:srgbClr val="75787B"/>
            </a:solidFill>
            <a:ln>
              <a:solidFill>
                <a:srgbClr val="75787B"/>
              </a:solidFill>
              <a:prstDash val="solid"/>
            </a:ln>
          </c:spPr>
          <c:invertIfNegative val="1"/>
          <c:cat>
            <c:strRef>
              <c:f>'Sector Debt'!$B$130:$E$130</c:f>
              <c:strCache>
                <c:ptCount val="4"/>
                <c:pt idx="0">
                  <c:v>FY1996</c:v>
                </c:pt>
                <c:pt idx="1">
                  <c:v>FY2005</c:v>
                </c:pt>
                <c:pt idx="2">
                  <c:v>FY2015</c:v>
                </c:pt>
                <c:pt idx="3">
                  <c:v>FY2025</c:v>
                </c:pt>
              </c:strCache>
            </c:strRef>
          </c:cat>
          <c:val>
            <c:numRef>
              <c:f>'Sector Debt'!$B$136:$E$136</c:f>
              <c:numCache>
                <c:formatCode>#,##0.0</c:formatCode>
                <c:ptCount val="4"/>
                <c:pt idx="0">
                  <c:v>1041.9000000000001</c:v>
                </c:pt>
                <c:pt idx="1">
                  <c:v>2645.8</c:v>
                </c:pt>
                <c:pt idx="2">
                  <c:v>3251.8</c:v>
                </c:pt>
                <c:pt idx="3">
                  <c:v>3667.3</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75787B"/>
                    </a:solidFill>
                    <a:prstDash val="solid"/>
                  </a:ln>
                </c14:spPr>
              </c14:invertSolidFillFmt>
            </c:ext>
            <c:ext xmlns:c16="http://schemas.microsoft.com/office/drawing/2014/chart" uri="{C3380CC4-5D6E-409C-BE32-E72D297353CC}">
              <c16:uniqueId val="{00000004-3036-4E43-A030-9E6451A75301}"/>
            </c:ext>
          </c:extLst>
        </c:ser>
        <c:dLbls>
          <c:showLegendKey val="0"/>
          <c:showVal val="0"/>
          <c:showCatName val="0"/>
          <c:showSerName val="0"/>
          <c:showPercent val="0"/>
          <c:showBubbleSize val="0"/>
        </c:dLbls>
        <c:gapWidth val="60"/>
        <c:overlap val="100"/>
        <c:axId val="10"/>
        <c:axId val="100"/>
      </c:barChart>
      <c:catAx>
        <c:axId val="10"/>
        <c:scaling>
          <c:orientation val="minMax"/>
        </c:scaling>
        <c:delete val="0"/>
        <c:axPos val="b"/>
        <c:numFmt formatCode="General" sourceLinked="1"/>
        <c:majorTickMark val="out"/>
        <c:minorTickMark val="none"/>
        <c:tickLblPos val="low"/>
        <c:crossAx val="100"/>
        <c:crosses val="autoZero"/>
        <c:auto val="1"/>
        <c:lblAlgn val="ctr"/>
        <c:lblOffset val="100"/>
        <c:noMultiLvlLbl val="1"/>
      </c:catAx>
      <c:valAx>
        <c:axId val="100"/>
        <c:scaling>
          <c:orientation val="minMax"/>
          <c:max val="90000"/>
          <c:min val="0"/>
        </c:scaling>
        <c:delete val="0"/>
        <c:axPos val="l"/>
        <c:majorGridlines/>
        <c:title>
          <c:tx>
            <c:rich>
              <a:bodyPr/>
              <a:lstStyle/>
              <a:p>
                <a:pPr>
                  <a:defRPr/>
                </a:pPr>
                <a:r>
                  <a:rPr lang="en-US"/>
                  <a:t>$ billions</a:t>
                </a:r>
              </a:p>
            </c:rich>
          </c:tx>
          <c:overlay val="1"/>
        </c:title>
        <c:numFmt formatCode="#,##0" sourceLinked="0"/>
        <c:majorTickMark val="out"/>
        <c:minorTickMark val="none"/>
        <c:tickLblPos val="nextTo"/>
        <c:crossAx val="10"/>
        <c:crosses val="autoZero"/>
        <c:crossBetween val="between"/>
        <c:majorUnit val="15000"/>
      </c:valAx>
    </c:plotArea>
    <c:legend>
      <c:legendPos val="b"/>
      <c:overlay val="0"/>
    </c:legend>
    <c:plotVisOnly val="1"/>
    <c:dispBlanksAs val="gap"/>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Debt-to-GDP Ratio (1960–2025)</a:t>
            </a:r>
          </a:p>
        </c:rich>
      </c:tx>
      <c:overlay val="1"/>
    </c:title>
    <c:autoTitleDeleted val="0"/>
    <c:plotArea>
      <c:layout>
        <c:manualLayout>
          <c:layoutTarget val="inner"/>
          <c:xMode val="edge"/>
          <c:yMode val="edge"/>
          <c:x val="0.09"/>
          <c:y val="0.12"/>
          <c:w val="0.86"/>
          <c:h val="0.72"/>
        </c:manualLayout>
      </c:layout>
      <c:scatterChart>
        <c:scatterStyle val="lineMarker"/>
        <c:varyColors val="1"/>
        <c:ser>
          <c:idx val="0"/>
          <c:order val="0"/>
          <c:tx>
            <c:v>Debt-to-GDP ratio (%)</c:v>
          </c:tx>
          <c:spPr>
            <a:ln w="28575">
              <a:solidFill>
                <a:srgbClr val="A31F34"/>
              </a:solidFill>
              <a:prstDash val="solid"/>
            </a:ln>
          </c:spPr>
          <c:marker>
            <c:symbol val="none"/>
          </c:marker>
          <c:xVal>
            <c:numRef>
              <c:f>'Historical Data'!$A$5:$A$38</c:f>
              <c:numCache>
                <c:formatCode>0</c:formatCode>
                <c:ptCount val="34"/>
                <c:pt idx="0">
                  <c:v>1960</c:v>
                </c:pt>
                <c:pt idx="1">
                  <c:v>1965</c:v>
                </c:pt>
                <c:pt idx="2">
                  <c:v>1970</c:v>
                </c:pt>
                <c:pt idx="3">
                  <c:v>1975</c:v>
                </c:pt>
                <c:pt idx="4">
                  <c:v>1980</c:v>
                </c:pt>
                <c:pt idx="5">
                  <c:v>1985</c:v>
                </c:pt>
                <c:pt idx="6">
                  <c:v>1990</c:v>
                </c:pt>
                <c:pt idx="7">
                  <c:v>1995</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pt idx="28">
                  <c:v>2020</c:v>
                </c:pt>
                <c:pt idx="29">
                  <c:v>2021</c:v>
                </c:pt>
                <c:pt idx="30">
                  <c:v>2022</c:v>
                </c:pt>
                <c:pt idx="31">
                  <c:v>2023</c:v>
                </c:pt>
                <c:pt idx="32">
                  <c:v>2024</c:v>
                </c:pt>
                <c:pt idx="33">
                  <c:v>2025</c:v>
                </c:pt>
              </c:numCache>
            </c:numRef>
          </c:xVal>
          <c:yVal>
            <c:numRef>
              <c:f>'Historical Data'!$D$5:$D$38</c:f>
              <c:numCache>
                <c:formatCode>#,##0</c:formatCode>
                <c:ptCount val="34"/>
                <c:pt idx="0">
                  <c:v>52.783923303834811</c:v>
                </c:pt>
                <c:pt idx="1">
                  <c:v>42.74552067897077</c:v>
                </c:pt>
                <c:pt idx="2">
                  <c:v>34.556973819062705</c:v>
                </c:pt>
                <c:pt idx="3">
                  <c:v>31.645795002670784</c:v>
                </c:pt>
                <c:pt idx="4">
                  <c:v>31.767752773597451</c:v>
                </c:pt>
                <c:pt idx="5">
                  <c:v>42.016593685180915</c:v>
                </c:pt>
                <c:pt idx="6">
                  <c:v>54.221797387265013</c:v>
                </c:pt>
                <c:pt idx="7">
                  <c:v>65.107268610023965</c:v>
                </c:pt>
                <c:pt idx="8">
                  <c:v>55.352648522095407</c:v>
                </c:pt>
                <c:pt idx="9">
                  <c:v>54.881448511136945</c:v>
                </c:pt>
                <c:pt idx="10">
                  <c:v>56.987309110539755</c:v>
                </c:pt>
                <c:pt idx="11">
                  <c:v>59.209182560118713</c:v>
                </c:pt>
                <c:pt idx="12">
                  <c:v>60.399273155878596</c:v>
                </c:pt>
                <c:pt idx="13">
                  <c:v>60.837321308055706</c:v>
                </c:pt>
                <c:pt idx="14">
                  <c:v>61.575320652016565</c:v>
                </c:pt>
                <c:pt idx="15">
                  <c:v>62.232800431111912</c:v>
                </c:pt>
                <c:pt idx="16">
                  <c:v>67.872497444126239</c:v>
                </c:pt>
                <c:pt idx="17">
                  <c:v>82.26079388870086</c:v>
                </c:pt>
                <c:pt idx="18">
                  <c:v>90.116286796464891</c:v>
                </c:pt>
                <c:pt idx="19">
                  <c:v>94.811438681513096</c:v>
                </c:pt>
                <c:pt idx="20">
                  <c:v>98.844592100406061</c:v>
                </c:pt>
                <c:pt idx="21">
                  <c:v>99.155840693810092</c:v>
                </c:pt>
                <c:pt idx="22">
                  <c:v>101.22670816272057</c:v>
                </c:pt>
                <c:pt idx="23">
                  <c:v>99.210713309647431</c:v>
                </c:pt>
                <c:pt idx="24">
                  <c:v>104.08670080670464</c:v>
                </c:pt>
                <c:pt idx="25">
                  <c:v>103.22657950958849</c:v>
                </c:pt>
                <c:pt idx="26">
                  <c:v>104.1614019800063</c:v>
                </c:pt>
                <c:pt idx="27">
                  <c:v>105.47539461467039</c:v>
                </c:pt>
                <c:pt idx="28">
                  <c:v>126.058581633942</c:v>
                </c:pt>
                <c:pt idx="29">
                  <c:v>119.82373470007082</c:v>
                </c:pt>
                <c:pt idx="30">
                  <c:v>118.70802084852581</c:v>
                </c:pt>
                <c:pt idx="31">
                  <c:v>119.25750139330853</c:v>
                </c:pt>
                <c:pt idx="32">
                  <c:v>121.04819441600108</c:v>
                </c:pt>
                <c:pt idx="33">
                  <c:v>122.35055474106125</c:v>
                </c:pt>
              </c:numCache>
            </c:numRef>
          </c:yVal>
          <c:smooth val="0"/>
          <c:extLst>
            <c:ext xmlns:c16="http://schemas.microsoft.com/office/drawing/2014/chart" uri="{C3380CC4-5D6E-409C-BE32-E72D297353CC}">
              <c16:uniqueId val="{00000000-E0BA-4175-A70B-B6027A96B1A5}"/>
            </c:ext>
          </c:extLst>
        </c:ser>
        <c:dLbls>
          <c:showLegendKey val="0"/>
          <c:showVal val="0"/>
          <c:showCatName val="0"/>
          <c:showSerName val="0"/>
          <c:showPercent val="0"/>
          <c:showBubbleSize val="0"/>
        </c:dLbls>
        <c:axId val="10"/>
        <c:axId val="20"/>
      </c:scatterChart>
      <c:valAx>
        <c:axId val="10"/>
        <c:scaling>
          <c:orientation val="minMax"/>
          <c:max val="2025"/>
          <c:min val="1960"/>
        </c:scaling>
        <c:delete val="0"/>
        <c:axPos val="b"/>
        <c:majorGridlines/>
        <c:numFmt formatCode="0" sourceLinked="0"/>
        <c:majorTickMark val="out"/>
        <c:minorTickMark val="none"/>
        <c:tickLblPos val="low"/>
        <c:crossAx val="20"/>
        <c:crosses val="autoZero"/>
        <c:crossBetween val="midCat"/>
        <c:majorUnit val="10"/>
      </c:valAx>
      <c:valAx>
        <c:axId val="20"/>
        <c:scaling>
          <c:orientation val="minMax"/>
          <c:max val="140"/>
          <c:min val="0"/>
        </c:scaling>
        <c:delete val="0"/>
        <c:axPos val="l"/>
        <c:majorGridlines/>
        <c:title>
          <c:tx>
            <c:rich>
              <a:bodyPr/>
              <a:lstStyle/>
              <a:p>
                <a:pPr>
                  <a:defRPr/>
                </a:pPr>
                <a:r>
                  <a:rPr lang="en-US"/>
                  <a:t>Debt as % of GDP</a:t>
                </a:r>
              </a:p>
            </c:rich>
          </c:tx>
          <c:overlay val="1"/>
        </c:title>
        <c:numFmt formatCode="0" sourceLinked="0"/>
        <c:majorTickMark val="out"/>
        <c:minorTickMark val="none"/>
        <c:tickLblPos val="nextTo"/>
        <c:crossAx val="10"/>
        <c:crosses val="autoZero"/>
        <c:crossBetween val="midCat"/>
        <c:majorUnit val="20"/>
      </c:valAx>
    </c:plotArea>
    <c:plotVisOnly val="1"/>
    <c:dispBlanksAs val="gap"/>
    <c:showDLblsOverMax val="1"/>
  </c:chart>
  <c:printSettings>
    <c:headerFooter/>
    <c:pageMargins b="0.75" l="0.7" r="0.7" t="0.75" header="0.3" footer="0.3"/>
    <c:pageSetup/>
  </c:printSettings>
</c:chartSpace>
</file>

<file path=xl/charts/chart8.xml><?xml version="1.0" encoding="utf-8"?>
<chartSpace xmlns="http://schemas.openxmlformats.org/drawingml/2006/chart">
  <chart>
    <title>
      <tx>
        <rich>
          <a:bodyPr xmlns:a="http://schemas.openxmlformats.org/drawingml/2006/main"/>
          <a:p xmlns:a="http://schemas.openxmlformats.org/drawingml/2006/main">
            <a:pPr>
              <a:defRPr/>
            </a:pPr>
            <a:r>
              <a:t>U.S. Federal Debt vs. Nominal GDP, 1960–2025 ($T)</a:t>
            </a:r>
          </a:p>
        </rich>
      </tx>
    </title>
    <plotArea>
      <layout>
        <manualLayout>
          <layoutTarget val="inner"/>
          <xMode val="edge"/>
          <yMode val="edge"/>
          <wMode val="factor"/>
          <hMode val="factor"/>
          <x val="0.1"/>
          <y val="0.14"/>
          <w val="0.8"/>
          <h val="0.68"/>
        </manualLayout>
      </layout>
      <scatterChart>
        <ser>
          <idx val="0"/>
          <order val="0"/>
          <tx>
            <strRef>
              <f>'Historical Data'!K3</f>
            </strRef>
          </tx>
          <spPr>
            <a:ln xmlns:a="http://schemas.openxmlformats.org/drawingml/2006/main" w="28000">
              <a:solidFill>
                <a:srgbClr val="A31F34"/>
              </a:solidFill>
              <a:prstDash val="solid"/>
            </a:ln>
          </spPr>
          <marker>
            <symbol val="circle"/>
            <size val="6"/>
            <spPr>
              <a:solidFill xmlns:a="http://schemas.openxmlformats.org/drawingml/2006/main">
                <a:srgbClr val="A31F34"/>
              </a:solidFill>
              <a:ln xmlns:a="http://schemas.openxmlformats.org/drawingml/2006/main">
                <a:solidFill>
                  <a:srgbClr val="A31F34"/>
                </a:solidFill>
                <a:prstDash val="solid"/>
              </a:ln>
            </spPr>
          </marker>
          <xVal>
            <numRef>
              <f>'Historical Data'!$A$4:$A$39</f>
            </numRef>
          </xVal>
          <yVal>
            <numRef>
              <f>'Historical Data'!$K$4:$K$39</f>
            </numRef>
          </yVal>
          <smooth val="0"/>
        </ser>
        <ser>
          <idx val="1"/>
          <order val="1"/>
          <tx>
            <strRef>
              <f>'Historical Data'!L3</f>
            </strRef>
          </tx>
          <spPr>
            <a:ln xmlns:a="http://schemas.openxmlformats.org/drawingml/2006/main" w="28000">
              <a:solidFill>
                <a:srgbClr val="1F3A5F"/>
              </a:solidFill>
              <a:prstDash val="solid"/>
            </a:ln>
          </spPr>
          <marker>
            <symbol val="circle"/>
            <size val="6"/>
            <spPr>
              <a:solidFill xmlns:a="http://schemas.openxmlformats.org/drawingml/2006/main">
                <a:srgbClr val="1F3A5F"/>
              </a:solidFill>
              <a:ln xmlns:a="http://schemas.openxmlformats.org/drawingml/2006/main">
                <a:solidFill>
                  <a:srgbClr val="1F3A5F"/>
                </a:solidFill>
                <a:prstDash val="solid"/>
              </a:ln>
            </spPr>
          </marker>
          <xVal>
            <numRef>
              <f>'Historical Data'!$A$4:$A$39</f>
            </numRef>
          </xVal>
          <yVal>
            <numRef>
              <f>'Historical Data'!$L$4:$L$39</f>
            </numRef>
          </yVal>
          <smooth val="0"/>
        </ser>
        <axId val="10"/>
        <axId val="20"/>
      </scatterChart>
      <valAx>
        <axId val="10"/>
        <scaling>
          <orientation val="minMax"/>
          <max val="2025"/>
          <min val="1960"/>
        </scaling>
        <delete val="0"/>
        <axPos val="b"/>
        <majorGridlines/>
        <title>
          <tx>
            <rich>
              <a:bodyPr xmlns:a="http://schemas.openxmlformats.org/drawingml/2006/main"/>
              <a:p xmlns:a="http://schemas.openxmlformats.org/drawingml/2006/main">
                <a:pPr>
                  <a:defRPr/>
                </a:pPr>
                <a:r>
                  <a:t>Fiscal year (debt) / calendar year (GDP)</a:t>
                </a:r>
              </a:p>
            </rich>
          </tx>
        </title>
        <majorTickMark val="none"/>
        <minorTickMark val="none"/>
        <tickLblPos val="low"/>
        <crossAx val="20"/>
      </valAx>
      <valAx>
        <axId val="20"/>
        <scaling>
          <orientation val="minMax"/>
        </scaling>
        <delete val="0"/>
        <axPos val="l"/>
        <majorGridlines/>
        <title>
          <tx>
            <rich>
              <a:bodyPr xmlns:a="http://schemas.openxmlformats.org/drawingml/2006/main"/>
              <a:p xmlns:a="http://schemas.openxmlformats.org/drawingml/2006/main">
                <a:pPr>
                  <a:defRPr/>
                </a:pPr>
                <a:r>
                  <a:t>$ trillions</a:t>
                </a:r>
              </a:p>
            </rich>
          </tx>
        </title>
        <majorTickMark val="none"/>
        <minorTickMark val="none"/>
        <tickLblPos val="nextTo"/>
        <crossAx val="10"/>
      </valAx>
    </plotArea>
    <legend>
      <legendPos val="b"/>
      <overlay val="0"/>
    </legend>
    <plotVisOnly val="1"/>
    <dispBlanksAs val="gap"/>
  </chart>
</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Annual Growth: Debt vs. Nominal GDP vs. Real GDP (2001–2025)</a:t>
            </a:r>
          </a:p>
        </c:rich>
      </c:tx>
      <c:overlay val="1"/>
    </c:title>
    <c:autoTitleDeleted val="0"/>
    <c:plotArea>
      <c:layout>
        <c:manualLayout>
          <c:layoutTarget val="inner"/>
          <c:xMode val="edge"/>
          <c:yMode val="edge"/>
          <c:x val="0.08"/>
          <c:y val="0.12"/>
          <c:w val="0.88"/>
          <c:h val="0.66"/>
        </c:manualLayout>
      </c:layout>
      <c:barChart>
        <c:barDir val="col"/>
        <c:grouping val="clustered"/>
        <c:varyColors val="1"/>
        <c:ser>
          <c:idx val="0"/>
          <c:order val="0"/>
          <c:tx>
            <c:strRef>
              <c:f>'Growth Comparison'!$C$4</c:f>
              <c:strCache>
                <c:ptCount val="1"/>
                <c:pt idx="0">
                  <c:v>Debt
YoY %</c:v>
                </c:pt>
              </c:strCache>
            </c:strRef>
          </c:tx>
          <c:spPr>
            <a:solidFill>
              <a:srgbClr val="A31F34"/>
            </a:solidFill>
            <a:ln>
              <a:solidFill>
                <a:srgbClr val="A31F34"/>
              </a:solidFill>
              <a:prstDash val="solid"/>
            </a:ln>
          </c:spPr>
          <c:invertIfNegative val="1"/>
          <c:cat>
            <c:numRef>
              <c:f>'Growth Comparison'!$A$6:$A$30</c:f>
              <c:numCache>
                <c:formatCode>0</c:formatCod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numCache>
            </c:numRef>
          </c:cat>
          <c:val>
            <c:numRef>
              <c:f>'Growth Comparison'!$C$6:$C$30</c:f>
              <c:numCache>
                <c:formatCode>#,##0.0</c:formatCode>
                <c:ptCount val="25"/>
                <c:pt idx="0">
                  <c:v>2.3492298473793696</c:v>
                </c:pt>
                <c:pt idx="1">
                  <c:v>7.2440809298321103</c:v>
                </c:pt>
                <c:pt idx="2">
                  <c:v>8.9126874538389966</c:v>
                </c:pt>
                <c:pt idx="3">
                  <c:v>8.7833355446464125</c:v>
                </c:pt>
                <c:pt idx="4">
                  <c:v>7.5022699245165319</c:v>
                </c:pt>
                <c:pt idx="5">
                  <c:v>7.2396535857904647</c:v>
                </c:pt>
                <c:pt idx="6">
                  <c:v>5.8857411543434903</c:v>
                </c:pt>
                <c:pt idx="7">
                  <c:v>11.290340486472683</c:v>
                </c:pt>
                <c:pt idx="8">
                  <c:v>18.804552754695887</c:v>
                </c:pt>
                <c:pt idx="9">
                  <c:v>13.869250533174371</c:v>
                </c:pt>
                <c:pt idx="10">
                  <c:v>9.0601403964133933</c:v>
                </c:pt>
                <c:pt idx="11">
                  <c:v>8.6265998661284851</c:v>
                </c:pt>
                <c:pt idx="12">
                  <c:v>4.1826941031482239</c:v>
                </c:pt>
                <c:pt idx="13">
                  <c:v>6.4875554121709493</c:v>
                </c:pt>
                <c:pt idx="14">
                  <c:v>1.831789543371054</c:v>
                </c:pt>
                <c:pt idx="15">
                  <c:v>7.8388593214549553</c:v>
                </c:pt>
                <c:pt idx="16">
                  <c:v>3.4306763260343121</c:v>
                </c:pt>
                <c:pt idx="17">
                  <c:v>6.2791122702507636</c:v>
                </c:pt>
                <c:pt idx="18">
                  <c:v>5.5925562718150728</c:v>
                </c:pt>
                <c:pt idx="19">
                  <c:v>18.60084333213025</c:v>
                </c:pt>
                <c:pt idx="20">
                  <c:v>5.5055779465140615</c:v>
                </c:pt>
                <c:pt idx="21">
                  <c:v>8.7938682115734341</c:v>
                </c:pt>
                <c:pt idx="22">
                  <c:v>7.2372441308937638</c:v>
                </c:pt>
                <c:pt idx="23">
                  <c:v>6.9267019021747149</c:v>
                </c:pt>
                <c:pt idx="24">
                  <c:v>6.1269374899548046</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A31F34"/>
                    </a:solidFill>
                    <a:prstDash val="solid"/>
                  </a:ln>
                </c14:spPr>
              </c14:invertSolidFillFmt>
            </c:ext>
            <c:ext xmlns:c16="http://schemas.microsoft.com/office/drawing/2014/chart" uri="{C3380CC4-5D6E-409C-BE32-E72D297353CC}">
              <c16:uniqueId val="{00000000-ECE7-4901-B702-E5959843C476}"/>
            </c:ext>
          </c:extLst>
        </c:ser>
        <c:ser>
          <c:idx val="1"/>
          <c:order val="1"/>
          <c:tx>
            <c:strRef>
              <c:f>'Growth Comparison'!$E$4</c:f>
              <c:strCache>
                <c:ptCount val="1"/>
                <c:pt idx="0">
                  <c:v>Nominal GDP
YoY %</c:v>
                </c:pt>
              </c:strCache>
            </c:strRef>
          </c:tx>
          <c:spPr>
            <a:solidFill>
              <a:srgbClr val="1F3A5F"/>
            </a:solidFill>
            <a:ln>
              <a:solidFill>
                <a:srgbClr val="1F3A5F"/>
              </a:solidFill>
              <a:prstDash val="solid"/>
            </a:ln>
          </c:spPr>
          <c:invertIfNegative val="1"/>
          <c:cat>
            <c:numRef>
              <c:f>'Growth Comparison'!$A$6:$A$30</c:f>
              <c:numCache>
                <c:formatCode>0</c:formatCod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numCache>
            </c:numRef>
          </c:cat>
          <c:val>
            <c:numRef>
              <c:f>'Growth Comparison'!$E$6:$E$30</c:f>
              <c:numCache>
                <c:formatCode>#,##0.0</c:formatCode>
                <c:ptCount val="25"/>
                <c:pt idx="0">
                  <c:v>3.2279777582674827</c:v>
                </c:pt>
                <c:pt idx="1">
                  <c:v>3.2810742872263083</c:v>
                </c:pt>
                <c:pt idx="2">
                  <c:v>4.8256489555407089</c:v>
                </c:pt>
                <c:pt idx="3">
                  <c:v>6.6398987474359599</c:v>
                </c:pt>
                <c:pt idx="4">
                  <c:v>6.7282192319025631</c:v>
                </c:pt>
                <c:pt idx="5">
                  <c:v>5.9543530277931129</c:v>
                </c:pt>
                <c:pt idx="6">
                  <c:v>4.7670749008367377</c:v>
                </c:pt>
                <c:pt idx="7">
                  <c:v>2.0429453786737706</c:v>
                </c:pt>
                <c:pt idx="8">
                  <c:v>-1.9756396454952252</c:v>
                </c:pt>
                <c:pt idx="9">
                  <c:v>3.9431969664527777</c:v>
                </c:pt>
                <c:pt idx="10">
                  <c:v>3.6593793607548726</c:v>
                </c:pt>
                <c:pt idx="11">
                  <c:v>4.1943114290659391</c:v>
                </c:pt>
                <c:pt idx="12">
                  <c:v>3.855666297526767</c:v>
                </c:pt>
                <c:pt idx="13">
                  <c:v>4.3090630127897409</c:v>
                </c:pt>
                <c:pt idx="14">
                  <c:v>3.9010455415405496</c:v>
                </c:pt>
                <c:pt idx="15">
                  <c:v>2.787100300628595</c:v>
                </c:pt>
                <c:pt idx="16">
                  <c:v>4.2924982318438127</c:v>
                </c:pt>
                <c:pt idx="17">
                  <c:v>5.3252838808694714</c:v>
                </c:pt>
                <c:pt idx="18">
                  <c:v>4.2771040592549561</c:v>
                </c:pt>
                <c:pt idx="19">
                  <c:v>-0.76462395543175821</c:v>
                </c:pt>
                <c:pt idx="20">
                  <c:v>10.995401234134723</c:v>
                </c:pt>
                <c:pt idx="21">
                  <c:v>9.8164008497150768</c:v>
                </c:pt>
                <c:pt idx="22">
                  <c:v>6.7431470834324898</c:v>
                </c:pt>
                <c:pt idx="23">
                  <c:v>5.3449112777088619</c:v>
                </c:pt>
                <c:pt idx="24">
                  <c:v>4.9972694381869021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1F3A5F"/>
                    </a:solidFill>
                    <a:prstDash val="solid"/>
                  </a:ln>
                </c14:spPr>
              </c14:invertSolidFillFmt>
            </c:ext>
            <c:ext xmlns:c16="http://schemas.microsoft.com/office/drawing/2014/chart" uri="{C3380CC4-5D6E-409C-BE32-E72D297353CC}">
              <c16:uniqueId val="{00000001-ECE7-4901-B702-E5959843C476}"/>
            </c:ext>
          </c:extLst>
        </c:ser>
        <c:ser>
          <c:idx val="2"/>
          <c:order val="2"/>
          <c:tx>
            <c:strRef>
              <c:f>'Growth Comparison'!$F$4</c:f>
              <c:strCache>
                <c:ptCount val="1"/>
                <c:pt idx="0">
                  <c:v>Real GDP
Growth %</c:v>
                </c:pt>
              </c:strCache>
            </c:strRef>
          </c:tx>
          <c:spPr>
            <a:solidFill>
              <a:srgbClr val="D4A843"/>
            </a:solidFill>
            <a:ln>
              <a:solidFill>
                <a:srgbClr val="D4A843"/>
              </a:solidFill>
              <a:prstDash val="solid"/>
            </a:ln>
          </c:spPr>
          <c:invertIfNegative val="1"/>
          <c:cat>
            <c:numRef>
              <c:f>'Growth Comparison'!$A$6:$A$30</c:f>
              <c:numCache>
                <c:formatCode>0</c:formatCod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numCache>
            </c:numRef>
          </c:cat>
          <c:val>
            <c:numRef>
              <c:f>'Growth Comparison'!$F$6:$F$30</c:f>
              <c:numCache>
                <c:formatCode>#,##0.0</c:formatCode>
                <c:ptCount val="25"/>
                <c:pt idx="0">
                  <c:v>1</c:v>
                </c:pt>
                <c:pt idx="1">
                  <c:v>1.7</c:v>
                </c:pt>
                <c:pt idx="2">
                  <c:v>2.8</c:v>
                </c:pt>
                <c:pt idx="3">
                  <c:v>3.8</c:v>
                </c:pt>
                <c:pt idx="4">
                  <c:v>3.5</c:v>
                </c:pt>
                <c:pt idx="5">
                  <c:v>2.8</c:v>
                </c:pt>
                <c:pt idx="6">
                  <c:v>2</c:v>
                </c:pt>
                <c:pt idx="7">
                  <c:v>0.1</c:v>
                </c:pt>
                <c:pt idx="8">
                  <c:v>-2.6</c:v>
                </c:pt>
                <c:pt idx="9">
                  <c:v>2.7</c:v>
                </c:pt>
                <c:pt idx="10">
                  <c:v>1.6</c:v>
                </c:pt>
                <c:pt idx="11">
                  <c:v>2.2999999999999998</c:v>
                </c:pt>
                <c:pt idx="12">
                  <c:v>2.1</c:v>
                </c:pt>
                <c:pt idx="13">
                  <c:v>2.5</c:v>
                </c:pt>
                <c:pt idx="14">
                  <c:v>2.9</c:v>
                </c:pt>
                <c:pt idx="15">
                  <c:v>1.8</c:v>
                </c:pt>
                <c:pt idx="16">
                  <c:v>2.5</c:v>
                </c:pt>
                <c:pt idx="17">
                  <c:v>3</c:v>
                </c:pt>
                <c:pt idx="18">
                  <c:v>2.6</c:v>
                </c:pt>
                <c:pt idx="19">
                  <c:v>-2.1</c:v>
                </c:pt>
                <c:pt idx="20">
                  <c:v>6.2</c:v>
                </c:pt>
                <c:pt idx="21">
                  <c:v>2.5</c:v>
                </c:pt>
                <c:pt idx="22">
                  <c:v>2.9</c:v>
                </c:pt>
                <c:pt idx="23">
                  <c:v>2.8</c:v>
                </c:pt>
                <c:pt idx="24">
                  <c:v>2.1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D4A843"/>
                    </a:solidFill>
                    <a:prstDash val="solid"/>
                  </a:ln>
                </c14:spPr>
              </c14:invertSolidFillFmt>
            </c:ext>
            <c:ext xmlns:c16="http://schemas.microsoft.com/office/drawing/2014/chart" uri="{C3380CC4-5D6E-409C-BE32-E72D297353CC}">
              <c16:uniqueId val="{00000002-ECE7-4901-B702-E5959843C476}"/>
            </c:ext>
          </c:extLst>
        </c:ser>
        <c:dLbls>
          <c:showLegendKey val="0"/>
          <c:showVal val="0"/>
          <c:showCatName val="0"/>
          <c:showSerName val="0"/>
          <c:showPercent val="0"/>
          <c:showBubbleSize val="0"/>
        </c:dLbls>
        <c:gapWidth val="40"/>
        <c:axId val="10"/>
        <c:axId val="100"/>
      </c:barChart>
      <c:catAx>
        <c:axId val="10"/>
        <c:scaling>
          <c:orientation val="minMax"/>
        </c:scaling>
        <c:delete val="0"/>
        <c:axPos val="b"/>
        <c:numFmt formatCode="General" sourceLinked="0"/>
        <c:majorTickMark val="out"/>
        <c:minorTickMark val="none"/>
        <c:tickLblPos val="low"/>
        <c:crossAx val="100"/>
        <c:crosses val="autoZero"/>
        <c:auto val="1"/>
        <c:lblAlgn val="ctr"/>
        <c:lblOffset val="100"/>
        <c:noMultiLvlLbl val="1"/>
      </c:catAx>
      <c:valAx>
        <c:axId val="100"/>
        <c:scaling>
          <c:orientation val="minMax"/>
          <c:max val="24"/>
          <c:min val="-6"/>
        </c:scaling>
        <c:delete val="0"/>
        <c:axPos val="l"/>
        <c:majorGridlines/>
        <c:title>
          <c:tx>
            <c:rich>
              <a:bodyPr/>
              <a:lstStyle/>
              <a:p>
                <a:pPr>
                  <a:defRPr/>
                </a:pPr>
                <a:r>
                  <a:rPr lang="en-US"/>
                  <a:t>Annual growth (%)</a:t>
                </a:r>
              </a:p>
            </c:rich>
          </c:tx>
          <c:overlay val="1"/>
        </c:title>
        <c:numFmt formatCode="0" sourceLinked="0"/>
        <c:majorTickMark val="out"/>
        <c:minorTickMark val="none"/>
        <c:tickLblPos val="nextTo"/>
        <c:crossAx val="10"/>
        <c:crosses val="autoZero"/>
        <c:crossBetween val="between"/>
        <c:majorUnit val="6"/>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_rels/drawing2.xml.rels><?xml version="1.0" encoding="UTF-8"?>
<Relationships xmlns="http://schemas.openxmlformats.org/package/2006/relationships"><Relationship Id="rId1" Type="http://schemas.openxmlformats.org/officeDocument/2006/relationships/chart" Target="../charts/chart2.xml"/><Relationship Id="rId2" Type="http://schemas.openxmlformats.org/officeDocument/2006/relationships/chart" Target="../charts/chart3.xml"/>
</Relationships>
</file>

<file path=xl/drawings/_rels/drawing3.xml.rels><?xml version="1.0" encoding="UTF-8"?>
<Relationships xmlns="http://schemas.openxmlformats.org/package/2006/relationships"><Relationship Id="rId1" Type="http://schemas.openxmlformats.org/officeDocument/2006/relationships/chart" Target="../charts/chart4.xml"/>
</Relationships>
</file>

<file path=xl/drawings/_rels/drawing4.xml.rels><?xml version="1.0" encoding="UTF-8"?>
<Relationships xmlns="http://schemas.openxmlformats.org/package/2006/relationships"><Relationship Id="rId1" Type="http://schemas.openxmlformats.org/officeDocument/2006/relationships/chart" Target="../charts/chart5.xml"/><Relationship Id="rId2" Type="http://schemas.openxmlformats.org/officeDocument/2006/relationships/chart" Target="../charts/chart6.xml"/>
</Relationships>
</file>

<file path=xl/drawings/_rels/drawing5.xml.rels><?xml version="1.0" encoding="UTF-8"?>
<Relationships xmlns="http://schemas.openxmlformats.org/package/2006/relationships"><Relationship Id="rId1" Type="http://schemas.openxmlformats.org/officeDocument/2006/relationships/chart" Target="../charts/chart7.xml"/><Relationship Id="rId2" Type="http://schemas.openxmlformats.org/officeDocument/2006/relationships/chart" Target="../charts/chart8.xml"/>
</Relationships>
</file>

<file path=xl/drawings/_rels/drawing6.xml.rels><?xml version="1.0" encoding="UTF-8"?>
<Relationships xmlns="http://schemas.openxmlformats.org/package/2006/relationships"><Relationship Id="rId1" Type="http://schemas.openxmlformats.org/officeDocument/2006/relationships/chart" Target="../charts/chart9.xml"/>
</Relationships>
</file>

<file path=xl/drawings/_rels/drawing7.xml.rels><?xml version="1.0" encoding="UTF-8"?>
<Relationships xmlns="http://schemas.openxmlformats.org/package/2006/relationships"><Relationship Id="rId1" Type="http://schemas.openxmlformats.org/officeDocument/2006/relationships/chart" Target="../charts/chart10.xml"/><Relationship Id="rId2"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3</xdr:row>
      <xdr:rowOff>0</xdr:rowOff>
    </xdr:from>
    <xdr:to>
      <xdr:col>18</xdr:col>
      <xdr:colOff>77400</xdr:colOff>
      <xdr:row>23</xdr:row>
      <xdr:rowOff>148680</xdr:rowOff>
    </xdr:to>
    <xdr:graphicFrame>
      <xdr:nvGraphicFramePr>
        <xdr:cNvPr id="0" name="Chart 1"/>
        <xdr:cNvGraphicFramePr/>
      </xdr:nvGraphicFramePr>
      <xdr:xfrm>
        <a:off x="7803360" y="581040"/>
        <a:ext cx="8674200" cy="395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0</xdr:colOff>
      <xdr:row>5</xdr:row>
      <xdr:rowOff>0</xdr:rowOff>
    </xdr:from>
    <xdr:to>
      <xdr:col>33</xdr:col>
      <xdr:colOff>294480</xdr:colOff>
      <xdr:row>29</xdr:row>
      <xdr:rowOff>106560</xdr:rowOff>
    </xdr:to>
    <xdr:graphicFrame>
      <xdr:nvGraphicFramePr>
        <xdr:cNvPr id="1" name="Chart 1"/>
        <xdr:cNvGraphicFramePr/>
      </xdr:nvGraphicFramePr>
      <xdr:xfrm>
        <a:off x="18094320" y="1343160"/>
        <a:ext cx="10119240" cy="467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0</xdr:colOff>
      <xdr:row>32</xdr:row>
      <xdr:rowOff>0</xdr:rowOff>
    </xdr:from>
    <xdr:to>
      <xdr:col>33</xdr:col>
      <xdr:colOff>294480</xdr:colOff>
      <xdr:row>56</xdr:row>
      <xdr:rowOff>106560</xdr:rowOff>
    </xdr:to>
    <xdr:graphicFrame>
      <xdr:nvGraphicFramePr>
        <xdr:cNvPr id="2" name="Chart 2"/>
        <xdr:cNvGraphicFramePr/>
      </xdr:nvGraphicFramePr>
      <xdr:xfrm>
        <a:off x="18094320" y="6486480"/>
        <a:ext cx="10119240" cy="46785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181080</xdr:colOff>
      <xdr:row>18</xdr:row>
      <xdr:rowOff>19080</xdr:rowOff>
    </xdr:from>
    <xdr:to>
      <xdr:col>9</xdr:col>
      <xdr:colOff>529200</xdr:colOff>
      <xdr:row>40</xdr:row>
      <xdr:rowOff>146520</xdr:rowOff>
    </xdr:to>
    <xdr:graphicFrame>
      <xdr:nvGraphicFramePr>
        <xdr:cNvPr id="3" name="Chart 1"/>
        <xdr:cNvGraphicFramePr/>
      </xdr:nvGraphicFramePr>
      <xdr:xfrm>
        <a:off x="181080" y="3457440"/>
        <a:ext cx="9389160" cy="431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19</xdr:col>
      <xdr:colOff>309600</xdr:colOff>
      <xdr:row>4</xdr:row>
      <xdr:rowOff>166680</xdr:rowOff>
    </xdr:from>
    <xdr:to>
      <xdr:col>34</xdr:col>
      <xdr:colOff>541440</xdr:colOff>
      <xdr:row>27</xdr:row>
      <xdr:rowOff>82800</xdr:rowOff>
    </xdr:to>
    <xdr:graphicFrame>
      <xdr:nvGraphicFramePr>
        <xdr:cNvPr id="4" name="Chart 1"/>
        <xdr:cNvGraphicFramePr/>
      </xdr:nvGraphicFramePr>
      <xdr:xfrm>
        <a:off x="21173040" y="938160"/>
        <a:ext cx="9442800" cy="467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262080</xdr:colOff>
      <xdr:row>30</xdr:row>
      <xdr:rowOff>71280</xdr:rowOff>
    </xdr:from>
    <xdr:to>
      <xdr:col>34</xdr:col>
      <xdr:colOff>493920</xdr:colOff>
      <xdr:row>54</xdr:row>
      <xdr:rowOff>177840</xdr:rowOff>
    </xdr:to>
    <xdr:graphicFrame>
      <xdr:nvGraphicFramePr>
        <xdr:cNvPr id="5" name="Chart 2"/>
        <xdr:cNvGraphicFramePr/>
      </xdr:nvGraphicFramePr>
      <xdr:xfrm>
        <a:off x="21125520" y="6176880"/>
        <a:ext cx="9442800" cy="46785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3</xdr:row>
      <xdr:rowOff>0</xdr:rowOff>
    </xdr:from>
    <xdr:to>
      <xdr:col>27</xdr:col>
      <xdr:colOff>77400</xdr:colOff>
      <xdr:row>23</xdr:row>
      <xdr:rowOff>148680</xdr:rowOff>
    </xdr:to>
    <xdr:graphicFrame>
      <xdr:nvGraphicFramePr>
        <xdr:cNvPr id="6" name="Chart 1"/>
        <xdr:cNvGraphicFramePr/>
      </xdr:nvGraphicFramePr>
      <xdr:xfrm>
        <a:off x="10672920" y="581040"/>
        <a:ext cx="8674200" cy="395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26</xdr:row>
      <xdr:rowOff>0</xdr:rowOff>
    </xdr:from>
    <xdr:to>
      <xdr:col>29</xdr:col>
      <xdr:colOff>254880</xdr:colOff>
      <xdr:row>50</xdr:row>
      <xdr:rowOff>107640</xdr:rowOff>
    </xdr:to>
    <xdr:graphicFrame>
      <xdr:nvGraphicFramePr>
        <xdr:cNvPr id="7" name="Chart 2"/>
        <xdr:cNvGraphicFramePr/>
      </xdr:nvGraphicFramePr>
      <xdr:xfrm>
        <a:off x="10672920" y="4962600"/>
        <a:ext cx="10079640" cy="4679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9</xdr:col>
      <xdr:colOff>0</xdr:colOff>
      <xdr:row>3</xdr:row>
      <xdr:rowOff>0</xdr:rowOff>
    </xdr:from>
    <xdr:to>
      <xdr:col>24</xdr:col>
      <xdr:colOff>186120</xdr:colOff>
      <xdr:row>23</xdr:row>
      <xdr:rowOff>148680</xdr:rowOff>
    </xdr:to>
    <xdr:graphicFrame>
      <xdr:nvGraphicFramePr>
        <xdr:cNvPr id="8" name="Chart 1"/>
        <xdr:cNvGraphicFramePr/>
      </xdr:nvGraphicFramePr>
      <xdr:xfrm>
        <a:off x="8085600" y="581040"/>
        <a:ext cx="9396720" cy="395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18</xdr:row>
      <xdr:rowOff>175680</xdr:rowOff>
    </xdr:from>
    <xdr:to>
      <xdr:col>8</xdr:col>
      <xdr:colOff>87840</xdr:colOff>
      <xdr:row>34</xdr:row>
      <xdr:rowOff>187200</xdr:rowOff>
    </xdr:to>
    <xdr:graphicFrame>
      <xdr:nvGraphicFramePr>
        <xdr:cNvPr id="9" name="Chart 1"/>
        <xdr:cNvGraphicFramePr/>
      </xdr:nvGraphicFramePr>
      <xdr:xfrm>
        <a:off x="0" y="3614040"/>
        <a:ext cx="6479280" cy="305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36</xdr:row>
      <xdr:rowOff>175680</xdr:rowOff>
    </xdr:from>
    <xdr:to>
      <xdr:col>8</xdr:col>
      <xdr:colOff>87840</xdr:colOff>
      <xdr:row>52</xdr:row>
      <xdr:rowOff>187200</xdr:rowOff>
    </xdr:to>
    <xdr:graphicFrame>
      <xdr:nvGraphicFramePr>
        <xdr:cNvPr id="10" name="Chart 2"/>
        <xdr:cNvGraphicFramePr/>
      </xdr:nvGraphicFramePr>
      <xdr:xfrm>
        <a:off x="0" y="7043040"/>
        <a:ext cx="6479280" cy="3059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drawing" Target="../drawings/drawing2.xml"/>
</Relationships>
</file>

<file path=xl/worksheets/_rels/sheet11.xml.rels><?xml version="1.0" encoding="UTF-8"?>
<Relationships xmlns="http://schemas.openxmlformats.org/package/2006/relationships"><Relationship Id="rId1" Type="http://schemas.openxmlformats.org/officeDocument/2006/relationships/drawing" Target="../drawings/drawing3.xml"/>
</Relationships>
</file>

<file path=xl/worksheets/_rels/sheet13.xml.rels><?xml version="1.0" encoding="UTF-8"?>
<Relationships xmlns="http://schemas.openxmlformats.org/package/2006/relationships"><Relationship Id="rId1" Type="http://schemas.openxmlformats.org/officeDocument/2006/relationships/drawing" Target="../drawings/drawing4.xml"/>
</Relationships>
</file>

<file path=xl/worksheets/_rels/sheet14.xml.rels><?xml version="1.0" encoding="UTF-8"?>
<Relationships xmlns="http://schemas.openxmlformats.org/package/2006/relationships"><Relationship Id="rId1" Type="http://schemas.openxmlformats.org/officeDocument/2006/relationships/drawing" Target="../drawings/drawing5.xml"/>
</Relationships>
</file>

<file path=xl/worksheets/_rels/sheet15.xml.rels><?xml version="1.0" encoding="UTF-8"?>
<Relationships xmlns="http://schemas.openxmlformats.org/package/2006/relationships"><Relationship Id="rId1" Type="http://schemas.openxmlformats.org/officeDocument/2006/relationships/drawing" Target="../drawings/drawing6.xml"/>
</Relationships>
</file>

<file path=xl/worksheets/_rels/sheet16.xml.rels><?xml version="1.0" encoding="UTF-8"?>
<Relationships xmlns="http://schemas.openxmlformats.org/package/2006/relationships"><Relationship Id="rId1" Type="http://schemas.openxmlformats.org/officeDocument/2006/relationships/drawing" Target="../drawings/drawing7.xml"/>
</Relationships>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49.57"/>
    <col collapsed="false" customWidth="true" hidden="false" outlineLevel="0" max="2" min="2" style="1" width="37.57"/>
    <col collapsed="false" customWidth="true" hidden="false" outlineLevel="0" max="3" min="3" style="1" width="100"/>
  </cols>
  <sheetData>
    <row r="1" customFormat="false" ht="15.75" hidden="false" customHeight="true" outlineLevel="0" collapsed="false">
      <c r="A1" s="2" t="s">
        <v>0</v>
      </c>
    </row>
    <row r="2" customFormat="false" ht="15" hidden="false" customHeight="true" outlineLevel="0" collapsed="false">
      <c r="A2" s="3" t="s">
        <v>1</v>
      </c>
    </row>
    <row r="3" customFormat="false" ht="15" hidden="false" customHeight="true" outlineLevel="0" collapsed="false">
      <c r="A3" s="4" t="s">
        <v>2</v>
      </c>
      <c r="B3" s="5" t="s">
        <v>3</v>
      </c>
      <c r="C3" s="5" t="s">
        <v>4</v>
      </c>
    </row>
    <row r="4" customFormat="false" ht="15" hidden="false" customHeight="true" outlineLevel="0" collapsed="false">
      <c r="A4" s="5" t="s">
        <v>5</v>
      </c>
      <c r="B4" s="5" t="s">
        <v>6</v>
      </c>
      <c r="C4" s="5" t="s">
        <v>7</v>
      </c>
    </row>
    <row r="5" customFormat="false" ht="15" hidden="false" customHeight="true" outlineLevel="0" collapsed="false">
      <c r="A5" s="5" t="s">
        <v>8</v>
      </c>
      <c r="B5" s="5" t="s">
        <v>9</v>
      </c>
      <c r="C5" s="5" t="s">
        <v>10</v>
      </c>
    </row>
    <row r="6" customFormat="false" ht="15" hidden="false" customHeight="true" outlineLevel="0" collapsed="false">
      <c r="A6" s="5" t="s">
        <v>11</v>
      </c>
      <c r="B6" s="5" t="s">
        <v>12</v>
      </c>
      <c r="C6" s="5" t="s">
        <v>13</v>
      </c>
    </row>
    <row r="7" customFormat="false" ht="15" hidden="false" customHeight="true" outlineLevel="0" collapsed="false">
      <c r="A7" s="5" t="s">
        <v>14</v>
      </c>
      <c r="B7" s="5" t="s">
        <v>15</v>
      </c>
      <c r="C7" s="5" t="s">
        <v>16</v>
      </c>
    </row>
    <row r="8" customFormat="false" ht="15" hidden="false" customHeight="true" outlineLevel="0" collapsed="false">
      <c r="A8" s="5" t="s">
        <v>17</v>
      </c>
      <c r="B8" s="5" t="s">
        <v>18</v>
      </c>
      <c r="C8" s="5" t="s">
        <v>19</v>
      </c>
    </row>
    <row r="9" customFormat="false" ht="15" hidden="false" customHeight="true" outlineLevel="0" collapsed="false">
      <c r="A9" s="5" t="s">
        <v>20</v>
      </c>
      <c r="B9" s="5" t="s">
        <v>21</v>
      </c>
      <c r="C9" s="5" t="s">
        <v>22</v>
      </c>
    </row>
    <row r="10" customFormat="false" ht="15" hidden="false" customHeight="true" outlineLevel="0" collapsed="false">
      <c r="A10" s="5" t="s">
        <v>23</v>
      </c>
      <c r="B10" s="5" t="s">
        <v>9</v>
      </c>
      <c r="C10" s="5" t="s">
        <v>24</v>
      </c>
    </row>
    <row r="11" customFormat="false" ht="15" hidden="false" customHeight="true" outlineLevel="0" collapsed="false">
      <c r="A11" s="5" t="s">
        <v>25</v>
      </c>
      <c r="B11" s="5" t="s">
        <v>26</v>
      </c>
      <c r="C11" s="5" t="s">
        <v>27</v>
      </c>
    </row>
    <row r="12" customFormat="false" ht="15" hidden="false" customHeight="true" outlineLevel="0" collapsed="false">
      <c r="A12" s="5" t="s">
        <v>28</v>
      </c>
      <c r="B12" s="5" t="s">
        <v>29</v>
      </c>
      <c r="C12" s="5" t="s">
        <v>30</v>
      </c>
    </row>
    <row r="13" customFormat="false" ht="15" hidden="false" customHeight="true" outlineLevel="0" collapsed="false">
      <c r="A13" s="5" t="s">
        <v>31</v>
      </c>
      <c r="B13" s="5" t="s">
        <v>32</v>
      </c>
      <c r="C13" s="5" t="s">
        <v>33</v>
      </c>
    </row>
    <row r="14" customFormat="false" ht="15" hidden="false" customHeight="true" outlineLevel="0" collapsed="false">
      <c r="A14" s="5" t="s">
        <v>34</v>
      </c>
      <c r="B14" s="5" t="s">
        <v>35</v>
      </c>
      <c r="C14" s="5" t="s">
        <v>36</v>
      </c>
    </row>
    <row r="15" customFormat="false" ht="15" hidden="false" customHeight="true" outlineLevel="0" collapsed="false">
      <c r="A15" s="5" t="s">
        <v>37</v>
      </c>
      <c r="B15" s="5"/>
      <c r="C15" s="5" t="s">
        <v>38</v>
      </c>
    </row>
    <row r="16" customFormat="false" ht="15" hidden="false" customHeight="true" outlineLevel="0" collapsed="false">
      <c r="A16" s="5" t="s">
        <v>39</v>
      </c>
      <c r="B16" s="5"/>
      <c r="C16" s="5" t="s">
        <v>40</v>
      </c>
    </row>
    <row r="17" customFormat="false" ht="15" hidden="false" customHeight="true" outlineLevel="0" collapsed="false">
      <c r="A17" s="5" t="s">
        <v>41</v>
      </c>
      <c r="B17" s="5" t="s">
        <v>42</v>
      </c>
      <c r="C17" s="5" t="s">
        <v>43</v>
      </c>
    </row>
    <row r="18" customFormat="false" ht="15" hidden="false" customHeight="true" outlineLevel="0" collapsed="false">
      <c r="A18" s="5" t="s">
        <v>44</v>
      </c>
      <c r="B18" s="5" t="s">
        <v>45</v>
      </c>
      <c r="C18" s="5" t="s">
        <v>46</v>
      </c>
    </row>
    <row r="19" customFormat="false" ht="15" hidden="false" customHeight="true" outlineLevel="0" collapsed="false">
      <c r="A19" s="5" t="s">
        <v>47</v>
      </c>
      <c r="B19" s="5"/>
      <c r="C19" s="5" t="s">
        <v>48</v>
      </c>
    </row>
    <row r="20" customFormat="false" ht="15" hidden="false" customHeight="true" outlineLevel="0" collapsed="false">
      <c r="A20" s="5" t="s">
        <v>49</v>
      </c>
      <c r="B20" s="5" t="s">
        <v>50</v>
      </c>
      <c r="C20" s="5" t="s">
        <v>51</v>
      </c>
    </row>
    <row r="21" customFormat="false" ht="15" hidden="false" customHeight="true" outlineLevel="0" collapsed="false">
      <c r="A21" s="5" t="s">
        <v>52</v>
      </c>
      <c r="B21" s="5"/>
      <c r="C21" s="5" t="s">
        <v>53</v>
      </c>
    </row>
    <row r="22" customFormat="false" ht="15" hidden="false" customHeight="true" outlineLevel="0" collapsed="false">
      <c r="A22" s="4" t="s">
        <v>54</v>
      </c>
      <c r="B22" s="5"/>
      <c r="C22" s="5" t="s">
        <v>55</v>
      </c>
    </row>
    <row r="23" customFormat="false" ht="1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ColWidth="8.71484375" defaultRowHeight="15" zeroHeight="false" outlineLevelRow="0" outlineLevelCol="0"/>
  <cols>
    <col collapsed="false" customWidth="true" hidden="false" outlineLevel="0" max="1" min="1" style="1" width="11"/>
    <col collapsed="false" customWidth="true" hidden="false" outlineLevel="0" max="7" min="2" style="1" width="13"/>
    <col collapsed="false" customWidth="true" hidden="false" outlineLevel="0" max="10" min="8" style="1" width="15"/>
    <col collapsed="false" customWidth="true" hidden="false" outlineLevel="0" max="16" min="11" style="1" width="19"/>
  </cols>
  <sheetData>
    <row r="1" customFormat="false" ht="15.75" hidden="false" customHeight="true" outlineLevel="0" collapsed="false">
      <c r="A1" s="2" t="s">
        <v>264</v>
      </c>
    </row>
    <row r="2" customFormat="false" ht="15" hidden="false" customHeight="true" outlineLevel="0" collapsed="false">
      <c r="A2" s="3" t="s">
        <v>265</v>
      </c>
    </row>
    <row r="3" customFormat="false" ht="15" hidden="false" customHeight="true" outlineLevel="0" collapsed="false">
      <c r="R3" s="32" t="s">
        <v>266</v>
      </c>
      <c r="S3" s="6" t="n">
        <v>3604.378</v>
      </c>
    </row>
    <row r="4" customFormat="false" ht="45" hidden="false" customHeight="true" outlineLevel="0" collapsed="false">
      <c r="A4" s="33" t="s">
        <v>267</v>
      </c>
      <c r="B4" s="33" t="s">
        <v>268</v>
      </c>
      <c r="C4" s="33" t="s">
        <v>269</v>
      </c>
      <c r="D4" s="33" t="s">
        <v>270</v>
      </c>
      <c r="E4" s="33" t="s">
        <v>271</v>
      </c>
      <c r="F4" s="33" t="s">
        <v>272</v>
      </c>
      <c r="G4" s="33" t="s">
        <v>273</v>
      </c>
      <c r="H4" s="33" t="s">
        <v>274</v>
      </c>
      <c r="I4" s="33" t="s">
        <v>260</v>
      </c>
      <c r="J4" s="33" t="s">
        <v>275</v>
      </c>
      <c r="K4" s="33" t="s">
        <v>276</v>
      </c>
      <c r="L4" s="33" t="s">
        <v>277</v>
      </c>
      <c r="M4" s="33" t="s">
        <v>278</v>
      </c>
      <c r="N4" s="33" t="s">
        <v>279</v>
      </c>
      <c r="O4" s="33" t="s">
        <v>280</v>
      </c>
      <c r="P4" s="33" t="s">
        <v>281</v>
      </c>
    </row>
    <row r="5" customFormat="false" ht="15" hidden="false" customHeight="true" outlineLevel="0" collapsed="false">
      <c r="A5" s="34" t="n">
        <v>1996</v>
      </c>
      <c r="B5" s="13" t="n">
        <v>1453.1</v>
      </c>
      <c r="C5" s="13" t="n">
        <v>1560.5</v>
      </c>
      <c r="D5" s="13" t="n">
        <v>241.1</v>
      </c>
      <c r="E5" s="10" t="n">
        <f aca="false">C5-D5</f>
        <v>1319.4</v>
      </c>
      <c r="F5" s="10" t="n">
        <f aca="false">B5-E5</f>
        <v>133.7</v>
      </c>
      <c r="G5" s="10" t="n">
        <f aca="false">B5-C5</f>
        <v>-107.4</v>
      </c>
      <c r="H5" s="18" t="n">
        <f aca="false">F5/B5</f>
        <v>0.0920101851214643</v>
      </c>
      <c r="I5" s="18" t="n">
        <f aca="false">G5/B5</f>
        <v>-0.0739109490055744</v>
      </c>
      <c r="J5" s="18" t="n">
        <f aca="false">D5/B5</f>
        <v>0.165921134127039</v>
      </c>
      <c r="K5" s="13" t="n">
        <v>3734.073</v>
      </c>
      <c r="L5" s="13" t="n">
        <v>1447.392</v>
      </c>
      <c r="M5" s="12" t="n">
        <f aca="false">K5+L5</f>
        <v>5181.465</v>
      </c>
      <c r="N5" s="28" t="n">
        <f aca="false">AVERAGE(K5,$S$3)</f>
        <v>3669.2255</v>
      </c>
      <c r="O5" s="35" t="n">
        <f aca="false">D5/N5</f>
        <v>0.0657086897493763</v>
      </c>
      <c r="P5" s="36" t="n">
        <v>0.063258</v>
      </c>
    </row>
    <row r="6" customFormat="false" ht="15" hidden="false" customHeight="true" outlineLevel="0" collapsed="false">
      <c r="A6" s="34" t="n">
        <v>1997</v>
      </c>
      <c r="B6" s="13" t="n">
        <v>1579.2</v>
      </c>
      <c r="C6" s="13" t="n">
        <v>1601.1</v>
      </c>
      <c r="D6" s="13" t="n">
        <v>244</v>
      </c>
      <c r="E6" s="10" t="n">
        <f aca="false">C6-D6</f>
        <v>1357.1</v>
      </c>
      <c r="F6" s="10" t="n">
        <f aca="false">B6-E6</f>
        <v>222.1</v>
      </c>
      <c r="G6" s="10" t="n">
        <f aca="false">B6-C6</f>
        <v>-21.8999999999999</v>
      </c>
      <c r="H6" s="18" t="n">
        <f aca="false">F6/B6</f>
        <v>0.140640830800405</v>
      </c>
      <c r="I6" s="18" t="n">
        <f aca="false">G6/B6</f>
        <v>-0.0138677811550151</v>
      </c>
      <c r="J6" s="18" t="n">
        <f aca="false">D6/B6</f>
        <v>0.15450861195542</v>
      </c>
      <c r="K6" s="13" t="n">
        <v>3772.344</v>
      </c>
      <c r="L6" s="13" t="n">
        <v>1596.862</v>
      </c>
      <c r="M6" s="12" t="n">
        <f aca="false">K6+L6</f>
        <v>5369.206</v>
      </c>
      <c r="N6" s="28" t="n">
        <f aca="false">AVERAGE(K6,K5)</f>
        <v>3753.2085</v>
      </c>
      <c r="O6" s="35" t="n">
        <f aca="false">D6/N6</f>
        <v>0.0650110432180893</v>
      </c>
      <c r="P6" s="36" t="n">
        <v>0.064617</v>
      </c>
    </row>
    <row r="7" customFormat="false" ht="15" hidden="false" customHeight="true" outlineLevel="0" collapsed="false">
      <c r="A7" s="34" t="n">
        <v>1998</v>
      </c>
      <c r="B7" s="13" t="n">
        <v>1721.7</v>
      </c>
      <c r="C7" s="13" t="n">
        <v>1652.5</v>
      </c>
      <c r="D7" s="13" t="n">
        <v>241.1</v>
      </c>
      <c r="E7" s="10" t="n">
        <f aca="false">C7-D7</f>
        <v>1411.4</v>
      </c>
      <c r="F7" s="10" t="n">
        <f aca="false">B7-E7</f>
        <v>310.3</v>
      </c>
      <c r="G7" s="10" t="n">
        <f aca="false">B7-C7</f>
        <v>69.2000000000001</v>
      </c>
      <c r="H7" s="18" t="n">
        <f aca="false">F7/B7</f>
        <v>0.180228843584829</v>
      </c>
      <c r="I7" s="18" t="n">
        <f aca="false">G7/B7</f>
        <v>0.0401928326653889</v>
      </c>
      <c r="J7" s="18" t="n">
        <f aca="false">D7/B7</f>
        <v>0.14003601091944</v>
      </c>
      <c r="K7" s="13" t="n">
        <v>3721.099</v>
      </c>
      <c r="L7" s="13" t="n">
        <v>1757.09</v>
      </c>
      <c r="M7" s="12" t="n">
        <f aca="false">K7+L7</f>
        <v>5478.189</v>
      </c>
      <c r="N7" s="28" t="n">
        <f aca="false">AVERAGE(K7,K6)</f>
        <v>3746.7215</v>
      </c>
      <c r="O7" s="35" t="n">
        <f aca="false">D7/N7</f>
        <v>0.0643495920366646</v>
      </c>
      <c r="P7" s="36" t="n">
        <v>0.055733</v>
      </c>
    </row>
    <row r="8" customFormat="false" ht="15" hidden="false" customHeight="true" outlineLevel="0" collapsed="false">
      <c r="A8" s="34" t="n">
        <v>1999</v>
      </c>
      <c r="B8" s="13" t="n">
        <v>1827.5</v>
      </c>
      <c r="C8" s="13" t="n">
        <v>1701.8</v>
      </c>
      <c r="D8" s="13" t="n">
        <v>229.8</v>
      </c>
      <c r="E8" s="10" t="n">
        <f aca="false">C8-D8</f>
        <v>1472</v>
      </c>
      <c r="F8" s="10" t="n">
        <f aca="false">B8-E8</f>
        <v>355.5</v>
      </c>
      <c r="G8" s="10" t="n">
        <f aca="false">B8-C8</f>
        <v>125.7</v>
      </c>
      <c r="H8" s="18" t="n">
        <f aca="false">F8/B8</f>
        <v>0.19452804377565</v>
      </c>
      <c r="I8" s="18" t="n">
        <f aca="false">G8/B8</f>
        <v>0.0687824897400821</v>
      </c>
      <c r="J8" s="18" t="n">
        <f aca="false">D8/B8</f>
        <v>0.125745554035568</v>
      </c>
      <c r="K8" s="13" t="n">
        <v>3632.363</v>
      </c>
      <c r="L8" s="13" t="n">
        <v>1973.16</v>
      </c>
      <c r="M8" s="12" t="n">
        <f aca="false">K8+L8</f>
        <v>5605.523</v>
      </c>
      <c r="N8" s="28" t="n">
        <f aca="false">AVERAGE(K8,K7)</f>
        <v>3676.731</v>
      </c>
      <c r="O8" s="35" t="n">
        <f aca="false">D8/N8</f>
        <v>0.06250117291692</v>
      </c>
      <c r="P8" s="36" t="n">
        <v>0.052692</v>
      </c>
    </row>
    <row r="9" customFormat="false" ht="15" hidden="false" customHeight="true" outlineLevel="0" collapsed="false">
      <c r="A9" s="34" t="n">
        <v>2000</v>
      </c>
      <c r="B9" s="13" t="n">
        <v>2025.2</v>
      </c>
      <c r="C9" s="13" t="n">
        <v>1789</v>
      </c>
      <c r="D9" s="13" t="n">
        <v>222.9</v>
      </c>
      <c r="E9" s="10" t="n">
        <f aca="false">C9-D9</f>
        <v>1566.1</v>
      </c>
      <c r="F9" s="10" t="n">
        <f aca="false">B9-E9</f>
        <v>459.1</v>
      </c>
      <c r="G9" s="10" t="n">
        <f aca="false">B9-C9</f>
        <v>236.2</v>
      </c>
      <c r="H9" s="18" t="n">
        <f aca="false">F9/B9</f>
        <v>0.226693659885444</v>
      </c>
      <c r="I9" s="18" t="n">
        <f aca="false">G9/B9</f>
        <v>0.116630456251234</v>
      </c>
      <c r="J9" s="18" t="n">
        <f aca="false">D9/B9</f>
        <v>0.110063203634209</v>
      </c>
      <c r="K9" s="13" t="n">
        <v>3409.804</v>
      </c>
      <c r="L9" s="13" t="n">
        <v>2218.896</v>
      </c>
      <c r="M9" s="12" t="n">
        <f aca="false">K9+L9</f>
        <v>5628.7</v>
      </c>
      <c r="N9" s="28" t="n">
        <f aca="false">AVERAGE(K9,K8)</f>
        <v>3521.0835</v>
      </c>
      <c r="O9" s="35" t="n">
        <f aca="false">D9/N9</f>
        <v>0.0633043777575851</v>
      </c>
      <c r="P9" s="36" t="n">
        <v>0.061725</v>
      </c>
    </row>
    <row r="10" customFormat="false" ht="15" hidden="false" customHeight="true" outlineLevel="0" collapsed="false">
      <c r="A10" s="34" t="n">
        <v>2001</v>
      </c>
      <c r="B10" s="13" t="n">
        <v>1991.1</v>
      </c>
      <c r="C10" s="13" t="n">
        <v>1862.8</v>
      </c>
      <c r="D10" s="13" t="n">
        <v>206.2</v>
      </c>
      <c r="E10" s="10" t="n">
        <f aca="false">C10-D10</f>
        <v>1656.6</v>
      </c>
      <c r="F10" s="10" t="n">
        <f aca="false">B10-E10</f>
        <v>334.5</v>
      </c>
      <c r="G10" s="10" t="n">
        <f aca="false">B10-C10</f>
        <v>128.3</v>
      </c>
      <c r="H10" s="18" t="n">
        <f aca="false">F10/B10</f>
        <v>0.167997589272262</v>
      </c>
      <c r="I10" s="18" t="n">
        <f aca="false">G10/B10</f>
        <v>0.0644367435086133</v>
      </c>
      <c r="J10" s="18" t="n">
        <f aca="false">D10/B10</f>
        <v>0.103560845763648</v>
      </c>
      <c r="K10" s="13" t="n">
        <v>3319.615</v>
      </c>
      <c r="L10" s="13" t="n">
        <v>2450.266</v>
      </c>
      <c r="M10" s="12" t="n">
        <f aca="false">K10+L10</f>
        <v>5769.881</v>
      </c>
      <c r="N10" s="28" t="n">
        <f aca="false">AVERAGE(K10,K9)</f>
        <v>3364.7095</v>
      </c>
      <c r="O10" s="35" t="n">
        <f aca="false">D10/N10</f>
        <v>0.0612831508931157</v>
      </c>
      <c r="P10" s="36" t="n">
        <v>0.052167</v>
      </c>
    </row>
    <row r="11" customFormat="false" ht="15" hidden="false" customHeight="true" outlineLevel="0" collapsed="false">
      <c r="A11" s="34" t="n">
        <v>2002</v>
      </c>
      <c r="B11" s="13" t="n">
        <v>1853.1</v>
      </c>
      <c r="C11" s="13" t="n">
        <v>2010.9</v>
      </c>
      <c r="D11" s="13" t="n">
        <v>170.9</v>
      </c>
      <c r="E11" s="10" t="n">
        <f aca="false">C11-D11</f>
        <v>1840</v>
      </c>
      <c r="F11" s="10" t="n">
        <f aca="false">B11-E11</f>
        <v>13.0999999999999</v>
      </c>
      <c r="G11" s="10" t="n">
        <f aca="false">B11-C11</f>
        <v>-157.8</v>
      </c>
      <c r="H11" s="18" t="n">
        <f aca="false">F11/B11</f>
        <v>0.0070692353353839</v>
      </c>
      <c r="I11" s="18" t="n">
        <f aca="false">G11/B11</f>
        <v>-0.0851546057956938</v>
      </c>
      <c r="J11" s="18" t="n">
        <f aca="false">D11/B11</f>
        <v>0.0922238411310777</v>
      </c>
      <c r="K11" s="13" t="n">
        <v>3540.427</v>
      </c>
      <c r="L11" s="13" t="n">
        <v>2657.974</v>
      </c>
      <c r="M11" s="12" t="n">
        <f aca="false">K11+L11</f>
        <v>6198.401</v>
      </c>
      <c r="N11" s="28" t="n">
        <f aca="false">AVERAGE(K11,K10)</f>
        <v>3430.021</v>
      </c>
      <c r="O11" s="35" t="n">
        <f aca="false">D11/N11</f>
        <v>0.0498247678366984</v>
      </c>
      <c r="P11" s="36" t="n">
        <v>0.048017</v>
      </c>
    </row>
    <row r="12" customFormat="false" ht="15" hidden="false" customHeight="true" outlineLevel="0" collapsed="false">
      <c r="A12" s="34" t="n">
        <v>2003</v>
      </c>
      <c r="B12" s="13" t="n">
        <v>1782.3</v>
      </c>
      <c r="C12" s="13" t="n">
        <v>2159.9</v>
      </c>
      <c r="D12" s="13" t="n">
        <v>153.1</v>
      </c>
      <c r="E12" s="10" t="n">
        <f aca="false">C12-D12</f>
        <v>2006.8</v>
      </c>
      <c r="F12" s="10" t="n">
        <f aca="false">B12-E12</f>
        <v>-224.5</v>
      </c>
      <c r="G12" s="10" t="n">
        <f aca="false">B12-C12</f>
        <v>-377.6</v>
      </c>
      <c r="H12" s="18" t="n">
        <f aca="false">F12/B12</f>
        <v>-0.125960837120575</v>
      </c>
      <c r="I12" s="18" t="n">
        <f aca="false">G12/B12</f>
        <v>-0.211861078381866</v>
      </c>
      <c r="J12" s="18" t="n">
        <f aca="false">D12/B12</f>
        <v>0.0859002412612916</v>
      </c>
      <c r="K12" s="13" t="n">
        <v>3913.443</v>
      </c>
      <c r="L12" s="13" t="n">
        <v>2846.57</v>
      </c>
      <c r="M12" s="12" t="n">
        <f aca="false">K12+L12</f>
        <v>6760.013</v>
      </c>
      <c r="N12" s="28" t="n">
        <f aca="false">AVERAGE(K12,K11)</f>
        <v>3726.935</v>
      </c>
      <c r="O12" s="35" t="n">
        <f aca="false">D12/N12</f>
        <v>0.0410793319443457</v>
      </c>
      <c r="P12" s="36" t="n">
        <v>0.03945</v>
      </c>
    </row>
    <row r="13" customFormat="false" ht="15" hidden="false" customHeight="true" outlineLevel="0" collapsed="false">
      <c r="A13" s="34" t="n">
        <v>2004</v>
      </c>
      <c r="B13" s="13" t="n">
        <v>1880.1</v>
      </c>
      <c r="C13" s="13" t="n">
        <v>2292.8</v>
      </c>
      <c r="D13" s="13" t="n">
        <v>160.2</v>
      </c>
      <c r="E13" s="10" t="n">
        <f aca="false">C13-D13</f>
        <v>2132.6</v>
      </c>
      <c r="F13" s="10" t="n">
        <f aca="false">B13-E13</f>
        <v>-252.5</v>
      </c>
      <c r="G13" s="10" t="n">
        <f aca="false">B13-C13</f>
        <v>-412.7</v>
      </c>
      <c r="H13" s="18" t="n">
        <f aca="false">F13/B13</f>
        <v>-0.134301366948567</v>
      </c>
      <c r="I13" s="18" t="n">
        <f aca="false">G13/B13</f>
        <v>-0.219509600553162</v>
      </c>
      <c r="J13" s="18" t="n">
        <f aca="false">D13/B13</f>
        <v>0.0852082336045955</v>
      </c>
      <c r="K13" s="13" t="n">
        <v>4295.544</v>
      </c>
      <c r="L13" s="13" t="n">
        <v>3059.113</v>
      </c>
      <c r="M13" s="12" t="n">
        <f aca="false">K13+L13</f>
        <v>7354.657</v>
      </c>
      <c r="N13" s="28" t="n">
        <f aca="false">AVERAGE(K13,K12)</f>
        <v>4104.4935</v>
      </c>
      <c r="O13" s="35" t="n">
        <f aca="false">D13/N13</f>
        <v>0.0390303943714371</v>
      </c>
      <c r="P13" s="36" t="n">
        <v>0.043025</v>
      </c>
    </row>
    <row r="14" customFormat="false" ht="15" hidden="false" customHeight="true" outlineLevel="0" collapsed="false">
      <c r="A14" s="34" t="n">
        <v>2005</v>
      </c>
      <c r="B14" s="13" t="n">
        <v>2153.6</v>
      </c>
      <c r="C14" s="13" t="n">
        <v>2472</v>
      </c>
      <c r="D14" s="13" t="n">
        <v>184</v>
      </c>
      <c r="E14" s="10" t="n">
        <f aca="false">C14-D14</f>
        <v>2288</v>
      </c>
      <c r="F14" s="10" t="n">
        <f aca="false">B14-E14</f>
        <v>-134.4</v>
      </c>
      <c r="G14" s="10" t="n">
        <f aca="false">B14-C14</f>
        <v>-318.4</v>
      </c>
      <c r="H14" s="18" t="n">
        <f aca="false">F14/B14</f>
        <v>-0.062407132243685</v>
      </c>
      <c r="I14" s="18" t="n">
        <f aca="false">G14/B14</f>
        <v>-0.147845468053492</v>
      </c>
      <c r="J14" s="18" t="n">
        <f aca="false">D14/B14</f>
        <v>0.0854383358098068</v>
      </c>
      <c r="K14" s="13" t="n">
        <v>4592.212</v>
      </c>
      <c r="L14" s="13" t="n">
        <v>3313.088</v>
      </c>
      <c r="M14" s="12" t="n">
        <f aca="false">K14+L14</f>
        <v>7905.3</v>
      </c>
      <c r="N14" s="28" t="n">
        <f aca="false">AVERAGE(K14,K13)</f>
        <v>4443.878</v>
      </c>
      <c r="O14" s="35" t="n">
        <f aca="false">D14/N14</f>
        <v>0.0414052771025667</v>
      </c>
      <c r="P14" s="36" t="n">
        <v>0.042108</v>
      </c>
    </row>
    <row r="15" customFormat="false" ht="15" hidden="false" customHeight="true" outlineLevel="0" collapsed="false">
      <c r="A15" s="34" t="n">
        <v>2006</v>
      </c>
      <c r="B15" s="13" t="n">
        <v>2406.9</v>
      </c>
      <c r="C15" s="13" t="n">
        <v>2655.1</v>
      </c>
      <c r="D15" s="13" t="n">
        <v>226.6</v>
      </c>
      <c r="E15" s="10" t="n">
        <f aca="false">C15-D15</f>
        <v>2428.5</v>
      </c>
      <c r="F15" s="10" t="n">
        <f aca="false">B15-E15</f>
        <v>-21.5999999999999</v>
      </c>
      <c r="G15" s="10" t="n">
        <f aca="false">B15-C15</f>
        <v>-248.2</v>
      </c>
      <c r="H15" s="18" t="n">
        <f aca="false">F15/B15</f>
        <v>-0.00897419917736504</v>
      </c>
      <c r="I15" s="18" t="n">
        <f aca="false">G15/B15</f>
        <v>-0.103120196102871</v>
      </c>
      <c r="J15" s="18" t="n">
        <f aca="false">D15/B15</f>
        <v>0.0941459969255058</v>
      </c>
      <c r="K15" s="13" t="n">
        <v>4828.972</v>
      </c>
      <c r="L15" s="13" t="n">
        <v>3622.378</v>
      </c>
      <c r="M15" s="12" t="n">
        <f aca="false">K15+L15</f>
        <v>8451.35</v>
      </c>
      <c r="N15" s="28" t="n">
        <f aca="false">AVERAGE(K15,K14)</f>
        <v>4710.592</v>
      </c>
      <c r="O15" s="35" t="n">
        <f aca="false">D15/N15</f>
        <v>0.0481043571593549</v>
      </c>
      <c r="P15" s="36" t="n">
        <v>0.047567</v>
      </c>
    </row>
    <row r="16" customFormat="false" ht="15" hidden="false" customHeight="true" outlineLevel="0" collapsed="false">
      <c r="A16" s="34" t="n">
        <v>2007</v>
      </c>
      <c r="B16" s="13" t="n">
        <v>2568</v>
      </c>
      <c r="C16" s="13" t="n">
        <v>2728.7</v>
      </c>
      <c r="D16" s="13" t="n">
        <v>237.1</v>
      </c>
      <c r="E16" s="10" t="n">
        <f aca="false">C16-D16</f>
        <v>2491.6</v>
      </c>
      <c r="F16" s="10" t="n">
        <f aca="false">B16-E16</f>
        <v>76.4000000000001</v>
      </c>
      <c r="G16" s="10" t="n">
        <f aca="false">B16-C16</f>
        <v>-160.7</v>
      </c>
      <c r="H16" s="18" t="n">
        <f aca="false">F16/B16</f>
        <v>0.0297507788161994</v>
      </c>
      <c r="I16" s="18" t="n">
        <f aca="false">G16/B16</f>
        <v>-0.0625778816199376</v>
      </c>
      <c r="J16" s="18" t="n">
        <f aca="false">D16/B16</f>
        <v>0.0923286604361371</v>
      </c>
      <c r="K16" s="13" t="n">
        <v>5035.129</v>
      </c>
      <c r="L16" s="13" t="n">
        <v>3915.615</v>
      </c>
      <c r="M16" s="12" t="n">
        <f aca="false">K16+L16</f>
        <v>8950.744</v>
      </c>
      <c r="N16" s="28" t="n">
        <f aca="false">AVERAGE(K16,K15)</f>
        <v>4932.0505</v>
      </c>
      <c r="O16" s="35" t="n">
        <f aca="false">D16/N16</f>
        <v>0.0480733114958981</v>
      </c>
      <c r="P16" s="36" t="n">
        <v>0.047217</v>
      </c>
    </row>
    <row r="17" customFormat="false" ht="15" hidden="false" customHeight="true" outlineLevel="0" collapsed="false">
      <c r="A17" s="34" t="n">
        <v>2008</v>
      </c>
      <c r="B17" s="13" t="n">
        <v>2524</v>
      </c>
      <c r="C17" s="13" t="n">
        <v>2982.5</v>
      </c>
      <c r="D17" s="13" t="n">
        <v>252.8</v>
      </c>
      <c r="E17" s="10" t="n">
        <f aca="false">C17-D17</f>
        <v>2729.7</v>
      </c>
      <c r="F17" s="10" t="n">
        <f aca="false">B17-E17</f>
        <v>-205.7</v>
      </c>
      <c r="G17" s="10" t="n">
        <f aca="false">B17-C17</f>
        <v>-458.5</v>
      </c>
      <c r="H17" s="18" t="n">
        <f aca="false">F17/B17</f>
        <v>-0.0814976228209191</v>
      </c>
      <c r="I17" s="18" t="n">
        <f aca="false">G17/B17</f>
        <v>-0.181656101426307</v>
      </c>
      <c r="J17" s="18" t="n">
        <f aca="false">D17/B17</f>
        <v>0.100158478605388</v>
      </c>
      <c r="K17" s="13" t="n">
        <v>5803.05</v>
      </c>
      <c r="L17" s="13" t="n">
        <v>4183.032</v>
      </c>
      <c r="M17" s="12" t="n">
        <f aca="false">K17+L17</f>
        <v>9986.082</v>
      </c>
      <c r="N17" s="28" t="n">
        <f aca="false">AVERAGE(K17,K16)</f>
        <v>5419.0895</v>
      </c>
      <c r="O17" s="35" t="n">
        <f aca="false">D17/N17</f>
        <v>0.0466499030879634</v>
      </c>
      <c r="P17" s="36" t="n">
        <v>0.039183</v>
      </c>
    </row>
    <row r="18" customFormat="false" ht="15" hidden="false" customHeight="true" outlineLevel="0" collapsed="false">
      <c r="A18" s="34" t="n">
        <v>2009</v>
      </c>
      <c r="B18" s="13" t="n">
        <v>2105</v>
      </c>
      <c r="C18" s="13" t="n">
        <v>3517.7</v>
      </c>
      <c r="D18" s="13" t="n">
        <v>186.9</v>
      </c>
      <c r="E18" s="10" t="n">
        <f aca="false">C18-D18</f>
        <v>3330.8</v>
      </c>
      <c r="F18" s="10" t="n">
        <f aca="false">B18-E18</f>
        <v>-1225.8</v>
      </c>
      <c r="G18" s="10" t="n">
        <f aca="false">B18-C18</f>
        <v>-1412.7</v>
      </c>
      <c r="H18" s="18" t="n">
        <f aca="false">F18/B18</f>
        <v>-0.582327790973872</v>
      </c>
      <c r="I18" s="18" t="n">
        <f aca="false">G18/B18</f>
        <v>-0.671116389548694</v>
      </c>
      <c r="J18" s="18" t="n">
        <f aca="false">D18/B18</f>
        <v>0.0887885985748219</v>
      </c>
      <c r="K18" s="13" t="n">
        <v>7544.707</v>
      </c>
      <c r="L18" s="13" t="n">
        <v>4331.144</v>
      </c>
      <c r="M18" s="12" t="n">
        <f aca="false">K18+L18</f>
        <v>11875.851</v>
      </c>
      <c r="N18" s="28" t="n">
        <f aca="false">AVERAGE(K18,K17)</f>
        <v>6673.8785</v>
      </c>
      <c r="O18" s="35" t="n">
        <f aca="false">D18/N18</f>
        <v>0.0280047052100214</v>
      </c>
      <c r="P18" s="36" t="n">
        <v>0.03205</v>
      </c>
    </row>
    <row r="19" customFormat="false" ht="15" hidden="false" customHeight="true" outlineLevel="0" collapsed="false">
      <c r="A19" s="34" t="n">
        <v>2010</v>
      </c>
      <c r="B19" s="13" t="n">
        <v>2162.7</v>
      </c>
      <c r="C19" s="13" t="n">
        <v>3457.1</v>
      </c>
      <c r="D19" s="13" t="n">
        <v>196.2</v>
      </c>
      <c r="E19" s="10" t="n">
        <f aca="false">C19-D19</f>
        <v>3260.9</v>
      </c>
      <c r="F19" s="10" t="n">
        <f aca="false">B19-E19</f>
        <v>-1098.2</v>
      </c>
      <c r="G19" s="10" t="n">
        <f aca="false">B19-C19</f>
        <v>-1294.4</v>
      </c>
      <c r="H19" s="18" t="n">
        <f aca="false">F19/B19</f>
        <v>-0.507791186942248</v>
      </c>
      <c r="I19" s="18" t="n">
        <f aca="false">G19/B19</f>
        <v>-0.598511120358811</v>
      </c>
      <c r="J19" s="18" t="n">
        <f aca="false">D19/B19</f>
        <v>0.0907199334165626</v>
      </c>
      <c r="K19" s="13" t="n">
        <v>9018.882</v>
      </c>
      <c r="L19" s="13" t="n">
        <v>4509.926</v>
      </c>
      <c r="M19" s="12" t="n">
        <f aca="false">K19+L19</f>
        <v>13528.808</v>
      </c>
      <c r="N19" s="28" t="n">
        <f aca="false">AVERAGE(K19,K18)</f>
        <v>8281.7945</v>
      </c>
      <c r="O19" s="35" t="n">
        <f aca="false">D19/N19</f>
        <v>0.0236905177978034</v>
      </c>
      <c r="P19" s="36" t="n">
        <v>0.033633</v>
      </c>
    </row>
    <row r="20" customFormat="false" ht="15" hidden="false" customHeight="true" outlineLevel="0" collapsed="false">
      <c r="A20" s="34" t="n">
        <v>2011</v>
      </c>
      <c r="B20" s="13" t="n">
        <v>2303.5</v>
      </c>
      <c r="C20" s="13" t="n">
        <v>3603.1</v>
      </c>
      <c r="D20" s="13" t="n">
        <v>230</v>
      </c>
      <c r="E20" s="10" t="n">
        <f aca="false">C20-D20</f>
        <v>3373.1</v>
      </c>
      <c r="F20" s="10" t="n">
        <f aca="false">B20-E20</f>
        <v>-1069.6</v>
      </c>
      <c r="G20" s="10" t="n">
        <f aca="false">B20-C20</f>
        <v>-1299.6</v>
      </c>
      <c r="H20" s="18" t="n">
        <f aca="false">F20/B20</f>
        <v>-0.464336878662904</v>
      </c>
      <c r="I20" s="18" t="n">
        <f aca="false">G20/B20</f>
        <v>-0.564184935967007</v>
      </c>
      <c r="J20" s="18" t="n">
        <f aca="false">D20/B20</f>
        <v>0.0998480573041025</v>
      </c>
      <c r="K20" s="13" t="n">
        <v>10128.187</v>
      </c>
      <c r="L20" s="13" t="n">
        <v>4636.035</v>
      </c>
      <c r="M20" s="12" t="n">
        <f aca="false">K20+L20</f>
        <v>14764.222</v>
      </c>
      <c r="N20" s="28" t="n">
        <f aca="false">AVERAGE(K20,K19)</f>
        <v>9573.5345</v>
      </c>
      <c r="O20" s="35" t="n">
        <f aca="false">D20/N20</f>
        <v>0.0240245648041484</v>
      </c>
      <c r="P20" s="36" t="n">
        <v>0.0299</v>
      </c>
    </row>
    <row r="21" customFormat="false" ht="15" hidden="false" customHeight="true" outlineLevel="0" collapsed="false">
      <c r="A21" s="34" t="n">
        <v>2012</v>
      </c>
      <c r="B21" s="13" t="n">
        <v>2450</v>
      </c>
      <c r="C21" s="13" t="n">
        <v>3526.6</v>
      </c>
      <c r="D21" s="13" t="n">
        <v>220.4</v>
      </c>
      <c r="E21" s="10" t="n">
        <f aca="false">C21-D21</f>
        <v>3306.2</v>
      </c>
      <c r="F21" s="10" t="n">
        <f aca="false">B21-E21</f>
        <v>-856.2</v>
      </c>
      <c r="G21" s="10" t="n">
        <f aca="false">B21-C21</f>
        <v>-1076.6</v>
      </c>
      <c r="H21" s="18" t="n">
        <f aca="false">F21/B21</f>
        <v>-0.349469387755102</v>
      </c>
      <c r="I21" s="18" t="n">
        <f aca="false">G21/B21</f>
        <v>-0.439428571428571</v>
      </c>
      <c r="J21" s="18" t="n">
        <f aca="false">D21/B21</f>
        <v>0.0899591836734694</v>
      </c>
      <c r="K21" s="13" t="n">
        <v>11281.131</v>
      </c>
      <c r="L21" s="13" t="n">
        <v>4769.79</v>
      </c>
      <c r="M21" s="12" t="n">
        <f aca="false">K21+L21</f>
        <v>16050.921</v>
      </c>
      <c r="N21" s="28" t="n">
        <f aca="false">AVERAGE(K21,K20)</f>
        <v>10704.659</v>
      </c>
      <c r="O21" s="35" t="n">
        <f aca="false">D21/N21</f>
        <v>0.0205891658949622</v>
      </c>
      <c r="P21" s="36" t="n">
        <v>0.018875</v>
      </c>
    </row>
    <row r="22" customFormat="false" ht="15" hidden="false" customHeight="true" outlineLevel="0" collapsed="false">
      <c r="A22" s="34" t="n">
        <v>2013</v>
      </c>
      <c r="B22" s="13" t="n">
        <v>2775.1</v>
      </c>
      <c r="C22" s="13" t="n">
        <v>3454.9</v>
      </c>
      <c r="D22" s="13" t="n">
        <v>220.9</v>
      </c>
      <c r="E22" s="10" t="n">
        <f aca="false">C22-D22</f>
        <v>3234</v>
      </c>
      <c r="F22" s="10" t="n">
        <f aca="false">B22-E22</f>
        <v>-458.9</v>
      </c>
      <c r="G22" s="10" t="n">
        <f aca="false">B22-C22</f>
        <v>-679.8</v>
      </c>
      <c r="H22" s="18" t="n">
        <f aca="false">F22/B22</f>
        <v>-0.165363410327556</v>
      </c>
      <c r="I22" s="18" t="n">
        <f aca="false">G22/B22</f>
        <v>-0.244964145436201</v>
      </c>
      <c r="J22" s="18" t="n">
        <f aca="false">D22/B22</f>
        <v>0.0796007351086447</v>
      </c>
      <c r="K22" s="13" t="n">
        <v>11982.713</v>
      </c>
      <c r="L22" s="13" t="n">
        <v>4736.721</v>
      </c>
      <c r="M22" s="12" t="n">
        <f aca="false">K22+L22</f>
        <v>16719.434</v>
      </c>
      <c r="N22" s="28" t="n">
        <f aca="false">AVERAGE(K22,K21)</f>
        <v>11631.922</v>
      </c>
      <c r="O22" s="35" t="n">
        <f aca="false">D22/N22</f>
        <v>0.0189908426139721</v>
      </c>
      <c r="P22" s="36" t="n">
        <v>0.020908</v>
      </c>
    </row>
    <row r="23" customFormat="false" ht="15" hidden="false" customHeight="true" outlineLevel="0" collapsed="false">
      <c r="A23" s="34" t="n">
        <v>2014</v>
      </c>
      <c r="B23" s="13" t="n">
        <v>3021.5</v>
      </c>
      <c r="C23" s="13" t="n">
        <v>3506.3</v>
      </c>
      <c r="D23" s="13" t="n">
        <v>229</v>
      </c>
      <c r="E23" s="10" t="n">
        <f aca="false">C23-D23</f>
        <v>3277.3</v>
      </c>
      <c r="F23" s="10" t="n">
        <f aca="false">B23-E23</f>
        <v>-255.8</v>
      </c>
      <c r="G23" s="10" t="n">
        <f aca="false">B23-C23</f>
        <v>-484.8</v>
      </c>
      <c r="H23" s="18" t="n">
        <f aca="false">F23/B23</f>
        <v>-0.0846599371173259</v>
      </c>
      <c r="I23" s="18" t="n">
        <f aca="false">G23/B23</f>
        <v>-0.160450107562469</v>
      </c>
      <c r="J23" s="18" t="n">
        <f aca="false">D23/B23</f>
        <v>0.0757901704451431</v>
      </c>
      <c r="K23" s="13" t="n">
        <v>12779.899</v>
      </c>
      <c r="L23" s="13" t="n">
        <v>5014.584</v>
      </c>
      <c r="M23" s="12" t="n">
        <f aca="false">K23+L23</f>
        <v>17794.483</v>
      </c>
      <c r="N23" s="28" t="n">
        <f aca="false">AVERAGE(K23,K22)</f>
        <v>12381.306</v>
      </c>
      <c r="O23" s="35" t="n">
        <f aca="false">D23/N23</f>
        <v>0.0184956255826324</v>
      </c>
      <c r="P23" s="36" t="n">
        <v>0.026575</v>
      </c>
    </row>
    <row r="24" customFormat="false" ht="15" hidden="false" customHeight="true" outlineLevel="0" collapsed="false">
      <c r="A24" s="34" t="n">
        <v>2015</v>
      </c>
      <c r="B24" s="13" t="n">
        <v>3249.9</v>
      </c>
      <c r="C24" s="13" t="n">
        <v>3691.8</v>
      </c>
      <c r="D24" s="13" t="n">
        <v>223.2</v>
      </c>
      <c r="E24" s="10" t="n">
        <f aca="false">C24-D24</f>
        <v>3468.6</v>
      </c>
      <c r="F24" s="10" t="n">
        <f aca="false">B24-E24</f>
        <v>-218.7</v>
      </c>
      <c r="G24" s="10" t="n">
        <f aca="false">B24-C24</f>
        <v>-441.9</v>
      </c>
      <c r="H24" s="18" t="n">
        <f aca="false">F24/B24</f>
        <v>-0.0672943782885628</v>
      </c>
      <c r="I24" s="18" t="n">
        <f aca="false">G24/B24</f>
        <v>-0.135973414566602</v>
      </c>
      <c r="J24" s="18" t="n">
        <f aca="false">D24/B24</f>
        <v>0.0686790362780393</v>
      </c>
      <c r="K24" s="13" t="n">
        <v>13116.692</v>
      </c>
      <c r="L24" s="13" t="n">
        <v>5003.414</v>
      </c>
      <c r="M24" s="12" t="n">
        <f aca="false">K24+L24</f>
        <v>18120.106</v>
      </c>
      <c r="N24" s="28" t="n">
        <f aca="false">AVERAGE(K24,K23)</f>
        <v>12948.2955</v>
      </c>
      <c r="O24" s="35" t="n">
        <f aca="false">D24/N24</f>
        <v>0.0172377901014076</v>
      </c>
      <c r="P24" s="36" t="n">
        <v>0.021583</v>
      </c>
    </row>
    <row r="25" customFormat="false" ht="15" hidden="false" customHeight="true" outlineLevel="0" collapsed="false">
      <c r="A25" s="34" t="n">
        <v>2016</v>
      </c>
      <c r="B25" s="13" t="n">
        <v>3268</v>
      </c>
      <c r="C25" s="13" t="n">
        <v>3852.6</v>
      </c>
      <c r="D25" s="13" t="n">
        <v>240</v>
      </c>
      <c r="E25" s="10" t="n">
        <f aca="false">C25-D25</f>
        <v>3612.6</v>
      </c>
      <c r="F25" s="10" t="n">
        <f aca="false">B25-E25</f>
        <v>-344.6</v>
      </c>
      <c r="G25" s="10" t="n">
        <f aca="false">B25-C25</f>
        <v>-584.6</v>
      </c>
      <c r="H25" s="18" t="n">
        <f aca="false">F25/B25</f>
        <v>-0.105446756425949</v>
      </c>
      <c r="I25" s="18" t="n">
        <f aca="false">G25/B25</f>
        <v>-0.178886168910649</v>
      </c>
      <c r="J25" s="18" t="n">
        <f aca="false">D25/B25</f>
        <v>0.0734394124847001</v>
      </c>
      <c r="K25" s="13" t="n">
        <v>14167.624</v>
      </c>
      <c r="L25" s="13" t="n">
        <v>5371.826</v>
      </c>
      <c r="M25" s="12" t="n">
        <f aca="false">K25+L25</f>
        <v>19539.45</v>
      </c>
      <c r="N25" s="28" t="n">
        <f aca="false">AVERAGE(K25,K24)</f>
        <v>13642.158</v>
      </c>
      <c r="O25" s="35" t="n">
        <f aca="false">D25/N25</f>
        <v>0.0175925245844536</v>
      </c>
      <c r="P25" s="36" t="n">
        <v>0.018567</v>
      </c>
    </row>
    <row r="26" customFormat="false" ht="15" hidden="false" customHeight="true" outlineLevel="0" collapsed="false">
      <c r="A26" s="34" t="n">
        <v>2017</v>
      </c>
      <c r="B26" s="13" t="n">
        <v>3316.2</v>
      </c>
      <c r="C26" s="13" t="n">
        <v>3981.6</v>
      </c>
      <c r="D26" s="13" t="n">
        <v>262.6</v>
      </c>
      <c r="E26" s="10" t="n">
        <f aca="false">C26-D26</f>
        <v>3719</v>
      </c>
      <c r="F26" s="10" t="n">
        <f aca="false">B26-E26</f>
        <v>-402.8</v>
      </c>
      <c r="G26" s="10" t="n">
        <f aca="false">B26-C26</f>
        <v>-665.4</v>
      </c>
      <c r="H26" s="18" t="n">
        <f aca="false">F26/B26</f>
        <v>-0.121464326638924</v>
      </c>
      <c r="I26" s="18" t="n">
        <f aca="false">G26/B26</f>
        <v>-0.200651347928352</v>
      </c>
      <c r="J26" s="18" t="n">
        <f aca="false">D26/B26</f>
        <v>0.0791870212894277</v>
      </c>
      <c r="K26" s="13" t="n">
        <v>14665.439</v>
      </c>
      <c r="L26" s="13" t="n">
        <v>5540.265</v>
      </c>
      <c r="M26" s="12" t="n">
        <f aca="false">K26+L26</f>
        <v>20205.704</v>
      </c>
      <c r="N26" s="28" t="n">
        <f aca="false">AVERAGE(K26,K25)</f>
        <v>14416.5315</v>
      </c>
      <c r="O26" s="35" t="n">
        <f aca="false">D26/N26</f>
        <v>0.0182151996823924</v>
      </c>
      <c r="P26" s="36" t="n">
        <v>0.0227</v>
      </c>
    </row>
    <row r="27" customFormat="false" ht="15" hidden="false" customHeight="true" outlineLevel="0" collapsed="false">
      <c r="A27" s="34" t="n">
        <v>2018</v>
      </c>
      <c r="B27" s="13" t="n">
        <v>3329.9</v>
      </c>
      <c r="C27" s="13" t="n">
        <v>4109</v>
      </c>
      <c r="D27" s="13" t="n">
        <v>325</v>
      </c>
      <c r="E27" s="10" t="n">
        <f aca="false">C27-D27</f>
        <v>3784</v>
      </c>
      <c r="F27" s="10" t="n">
        <f aca="false">B27-E27</f>
        <v>-454.1</v>
      </c>
      <c r="G27" s="10" t="n">
        <f aca="false">B27-C27</f>
        <v>-779.1</v>
      </c>
      <c r="H27" s="18" t="n">
        <f aca="false">F27/B27</f>
        <v>-0.136370461575423</v>
      </c>
      <c r="I27" s="18" t="n">
        <f aca="false">G27/B27</f>
        <v>-0.233970990119823</v>
      </c>
      <c r="J27" s="18" t="n">
        <f aca="false">D27/B27</f>
        <v>0.0976005285444007</v>
      </c>
      <c r="K27" s="13" t="n">
        <v>15749.567</v>
      </c>
      <c r="L27" s="13" t="n">
        <v>5712.71</v>
      </c>
      <c r="M27" s="12" t="n">
        <f aca="false">K27+L27</f>
        <v>21462.277</v>
      </c>
      <c r="N27" s="28" t="n">
        <f aca="false">AVERAGE(K27,K26)</f>
        <v>15207.503</v>
      </c>
      <c r="O27" s="35" t="n">
        <f aca="false">D27/N27</f>
        <v>0.0213710298133757</v>
      </c>
      <c r="P27" s="36" t="n">
        <v>0.027442</v>
      </c>
    </row>
    <row r="28" customFormat="false" ht="15" hidden="false" customHeight="true" outlineLevel="0" collapsed="false">
      <c r="A28" s="34" t="n">
        <v>2019</v>
      </c>
      <c r="B28" s="13" t="n">
        <v>3463.4</v>
      </c>
      <c r="C28" s="13" t="n">
        <v>4447</v>
      </c>
      <c r="D28" s="13" t="n">
        <v>375.2</v>
      </c>
      <c r="E28" s="10" t="n">
        <f aca="false">C28-D28</f>
        <v>4071.8</v>
      </c>
      <c r="F28" s="10" t="n">
        <f aca="false">B28-E28</f>
        <v>-608.4</v>
      </c>
      <c r="G28" s="10" t="n">
        <f aca="false">B28-C28</f>
        <v>-983.6</v>
      </c>
      <c r="H28" s="18" t="n">
        <f aca="false">F28/B28</f>
        <v>-0.175665530981117</v>
      </c>
      <c r="I28" s="18" t="n">
        <f aca="false">G28/B28</f>
        <v>-0.28399838309176</v>
      </c>
      <c r="J28" s="18" t="n">
        <f aca="false">D28/B28</f>
        <v>0.108332852110643</v>
      </c>
      <c r="K28" s="13" t="n">
        <v>16800.7</v>
      </c>
      <c r="L28" s="13" t="n">
        <v>5868.766</v>
      </c>
      <c r="M28" s="12" t="n">
        <f aca="false">K28+L28</f>
        <v>22669.466</v>
      </c>
      <c r="N28" s="28" t="n">
        <f aca="false">AVERAGE(K28,K27)</f>
        <v>16275.1335</v>
      </c>
      <c r="O28" s="35" t="n">
        <f aca="false">D28/N28</f>
        <v>0.023053574337808</v>
      </c>
      <c r="P28" s="36" t="n">
        <v>0.024542</v>
      </c>
    </row>
    <row r="29" customFormat="false" ht="15" hidden="false" customHeight="true" outlineLevel="0" collapsed="false">
      <c r="A29" s="34" t="n">
        <v>2020</v>
      </c>
      <c r="B29" s="13" t="n">
        <v>3421.2</v>
      </c>
      <c r="C29" s="13" t="n">
        <v>6516.8</v>
      </c>
      <c r="D29" s="13" t="n">
        <v>345.5</v>
      </c>
      <c r="E29" s="10" t="n">
        <f aca="false">C29-D29</f>
        <v>6171.3</v>
      </c>
      <c r="F29" s="10" t="n">
        <f aca="false">B29-E29</f>
        <v>-2750.1</v>
      </c>
      <c r="G29" s="10" t="n">
        <f aca="false">B29-C29</f>
        <v>-3095.6</v>
      </c>
      <c r="H29" s="18" t="n">
        <f aca="false">F29/B29</f>
        <v>-0.803840757628902</v>
      </c>
      <c r="I29" s="18" t="n">
        <f aca="false">G29/B29</f>
        <v>-0.904828715070736</v>
      </c>
      <c r="J29" s="18" t="n">
        <f aca="false">D29/B29</f>
        <v>0.100987957441833</v>
      </c>
      <c r="K29" s="13" t="n">
        <v>21016.669</v>
      </c>
      <c r="L29" s="13" t="n">
        <v>5885.786</v>
      </c>
      <c r="M29" s="12" t="n">
        <f aca="false">K29+L29</f>
        <v>26902.455</v>
      </c>
      <c r="N29" s="28" t="n">
        <f aca="false">AVERAGE(K29,K28)</f>
        <v>18908.6845</v>
      </c>
      <c r="O29" s="35" t="n">
        <f aca="false">D29/N29</f>
        <v>0.0182720273322028</v>
      </c>
      <c r="P29" s="36" t="n">
        <v>0.011267</v>
      </c>
    </row>
    <row r="30" customFormat="false" ht="15" hidden="false" customHeight="true" outlineLevel="0" collapsed="false">
      <c r="A30" s="34" t="n">
        <v>2021</v>
      </c>
      <c r="B30" s="13" t="n">
        <v>4047.1</v>
      </c>
      <c r="C30" s="13" t="n">
        <v>6820.7</v>
      </c>
      <c r="D30" s="13" t="n">
        <v>352.3</v>
      </c>
      <c r="E30" s="10" t="n">
        <f aca="false">C30-D30</f>
        <v>6468.4</v>
      </c>
      <c r="F30" s="10" t="n">
        <f aca="false">B30-E30</f>
        <v>-2421.3</v>
      </c>
      <c r="G30" s="10" t="n">
        <f aca="false">B30-C30</f>
        <v>-2773.6</v>
      </c>
      <c r="H30" s="18" t="n">
        <f aca="false">F30/B30</f>
        <v>-0.598280250055595</v>
      </c>
      <c r="I30" s="18" t="n">
        <f aca="false">G30/B30</f>
        <v>-0.685330236465617</v>
      </c>
      <c r="J30" s="18" t="n">
        <f aca="false">D30/B30</f>
        <v>0.087049986410022</v>
      </c>
      <c r="K30" s="13" t="n">
        <v>22284.04</v>
      </c>
      <c r="L30" s="13" t="n">
        <v>6101.522</v>
      </c>
      <c r="M30" s="12" t="n">
        <f aca="false">K30+L30</f>
        <v>28385.562</v>
      </c>
      <c r="N30" s="28" t="n">
        <f aca="false">AVERAGE(K30,K29)</f>
        <v>21650.3545</v>
      </c>
      <c r="O30" s="35" t="n">
        <f aca="false">D30/N30</f>
        <v>0.0162722508770007</v>
      </c>
      <c r="P30" s="36" t="n">
        <v>0.012742</v>
      </c>
    </row>
    <row r="31" customFormat="false" ht="15" hidden="false" customHeight="true" outlineLevel="0" collapsed="false">
      <c r="A31" s="34" t="n">
        <v>2022</v>
      </c>
      <c r="B31" s="13" t="n">
        <v>4897.3</v>
      </c>
      <c r="C31" s="13" t="n">
        <v>6271.5</v>
      </c>
      <c r="D31" s="13" t="n">
        <v>475.9</v>
      </c>
      <c r="E31" s="10" t="n">
        <f aca="false">C31-D31</f>
        <v>5795.6</v>
      </c>
      <c r="F31" s="10" t="n">
        <f aca="false">B31-E31</f>
        <v>-898.3</v>
      </c>
      <c r="G31" s="10" t="n">
        <f aca="false">B31-C31</f>
        <v>-1374.2</v>
      </c>
      <c r="H31" s="18" t="n">
        <f aca="false">F31/B31</f>
        <v>-0.183427602964899</v>
      </c>
      <c r="I31" s="18" t="n">
        <f aca="false">G31/B31</f>
        <v>-0.280603597900884</v>
      </c>
      <c r="J31" s="18" t="n">
        <f aca="false">D31/B31</f>
        <v>0.0971759949359851</v>
      </c>
      <c r="K31" s="13" t="n">
        <v>24253.445</v>
      </c>
      <c r="L31" s="13" t="n">
        <v>6585.141</v>
      </c>
      <c r="M31" s="12" t="n">
        <f aca="false">K31+L31</f>
        <v>30838.586</v>
      </c>
      <c r="N31" s="28" t="n">
        <f aca="false">AVERAGE(K31,K30)</f>
        <v>23268.7425</v>
      </c>
      <c r="O31" s="35" t="n">
        <f aca="false">D31/N31</f>
        <v>0.020452329987321</v>
      </c>
      <c r="P31" s="36" t="n">
        <v>0.023783</v>
      </c>
    </row>
    <row r="32" customFormat="false" ht="15" hidden="false" customHeight="true" outlineLevel="0" collapsed="false">
      <c r="A32" s="34" t="n">
        <v>2023</v>
      </c>
      <c r="B32" s="13" t="n">
        <v>4440.9</v>
      </c>
      <c r="C32" s="13" t="n">
        <v>6128.4</v>
      </c>
      <c r="D32" s="13" t="n">
        <v>658.3</v>
      </c>
      <c r="E32" s="10" t="n">
        <f aca="false">C32-D32</f>
        <v>5470.1</v>
      </c>
      <c r="F32" s="10" t="n">
        <f aca="false">B32-E32</f>
        <v>-1029.2</v>
      </c>
      <c r="G32" s="10" t="n">
        <f aca="false">B32-C32</f>
        <v>-1687.5</v>
      </c>
      <c r="H32" s="18" t="n">
        <f aca="false">F32/B32</f>
        <v>-0.231754824472517</v>
      </c>
      <c r="I32" s="18" t="n">
        <f aca="false">G32/B32</f>
        <v>-0.37999054245761</v>
      </c>
      <c r="J32" s="18" t="n">
        <f aca="false">D32/B32</f>
        <v>0.148235717985093</v>
      </c>
      <c r="K32" s="13" t="n">
        <v>26235.592</v>
      </c>
      <c r="L32" s="13" t="n">
        <v>6753.398</v>
      </c>
      <c r="M32" s="12" t="n">
        <f aca="false">K32+L32</f>
        <v>32988.99</v>
      </c>
      <c r="N32" s="28" t="n">
        <f aca="false">AVERAGE(K32,K31)</f>
        <v>25244.5185</v>
      </c>
      <c r="O32" s="35" t="n">
        <f aca="false">D32/N32</f>
        <v>0.0260769481501499</v>
      </c>
      <c r="P32" s="36" t="n">
        <v>0.03805</v>
      </c>
    </row>
    <row r="33" customFormat="false" ht="15" hidden="false" customHeight="true" outlineLevel="0" collapsed="false">
      <c r="A33" s="34" t="n">
        <v>2024</v>
      </c>
      <c r="B33" s="13" t="n">
        <v>4919.9</v>
      </c>
      <c r="C33" s="13" t="n">
        <v>6735.3</v>
      </c>
      <c r="D33" s="13" t="n">
        <v>879.9</v>
      </c>
      <c r="E33" s="10" t="n">
        <f aca="false">C33-D33</f>
        <v>5855.4</v>
      </c>
      <c r="F33" s="10" t="n">
        <f aca="false">B33-E33</f>
        <v>-935.500000000001</v>
      </c>
      <c r="G33" s="10" t="n">
        <f aca="false">B33-C33</f>
        <v>-1815.4</v>
      </c>
      <c r="H33" s="18" t="n">
        <f aca="false">F33/B33</f>
        <v>-0.190146141181732</v>
      </c>
      <c r="I33" s="18" t="n">
        <f aca="false">G33/B33</f>
        <v>-0.368991239659343</v>
      </c>
      <c r="J33" s="18" t="n">
        <f aca="false">D33/B33</f>
        <v>0.178845098477611</v>
      </c>
      <c r="K33" s="13" t="n">
        <v>28193.866</v>
      </c>
      <c r="L33" s="13" t="n">
        <v>7036.848</v>
      </c>
      <c r="M33" s="12" t="n">
        <f aca="false">K33+L33</f>
        <v>35230.714</v>
      </c>
      <c r="N33" s="28" t="n">
        <f aca="false">AVERAGE(K33,K32)</f>
        <v>27214.729</v>
      </c>
      <c r="O33" s="35" t="n">
        <f aca="false">D33/N33</f>
        <v>0.0323317568218298</v>
      </c>
      <c r="P33" s="36" t="n">
        <v>0.042475</v>
      </c>
    </row>
    <row r="34" customFormat="false" ht="15" hidden="false" customHeight="true" outlineLevel="0" collapsed="false">
      <c r="A34" s="34" t="n">
        <v>2025</v>
      </c>
      <c r="B34" s="13" t="n">
        <v>5236.4</v>
      </c>
      <c r="C34" s="13" t="n">
        <v>7011.1</v>
      </c>
      <c r="D34" s="13" t="n">
        <v>970.1</v>
      </c>
      <c r="E34" s="10" t="n">
        <f aca="false">C34-D34</f>
        <v>6041</v>
      </c>
      <c r="F34" s="10" t="n">
        <f aca="false">B34-E34</f>
        <v>-804.6</v>
      </c>
      <c r="G34" s="10" t="n">
        <f aca="false">B34-C34</f>
        <v>-1774.7</v>
      </c>
      <c r="H34" s="18" t="n">
        <f aca="false">F34/B34</f>
        <v>-0.153655182950118</v>
      </c>
      <c r="I34" s="18" t="n">
        <f aca="false">G34/B34</f>
        <v>-0.338916049194103</v>
      </c>
      <c r="J34" s="18" t="n">
        <f aca="false">D34/B34</f>
        <v>0.185260866243984</v>
      </c>
      <c r="K34" s="13" t="n">
        <v>30167.224</v>
      </c>
      <c r="L34" s="13" t="n">
        <v>7207.74</v>
      </c>
      <c r="M34" s="12" t="n">
        <f aca="false">K34+L34</f>
        <v>37374.964</v>
      </c>
      <c r="N34" s="28" t="n">
        <f aca="false">AVERAGE(K34,K33)</f>
        <v>29180.545</v>
      </c>
      <c r="O34" s="35" t="n">
        <f aca="false">D34/N34</f>
        <v>0.0332447526254222</v>
      </c>
      <c r="P34" s="36" t="n">
        <v>0.043383</v>
      </c>
    </row>
    <row r="36" customFormat="false" ht="15" hidden="false" customHeight="true" outlineLevel="0" collapsed="false">
      <c r="A36" s="3" t="s">
        <v>282</v>
      </c>
    </row>
    <row r="37" customFormat="false" ht="15" hidden="false" customHeight="true" outlineLevel="0" collapsed="false">
      <c r="A37" s="3" t="s">
        <v>283</v>
      </c>
    </row>
    <row r="38" customFormat="false" ht="15" hidden="false" customHeight="true" outlineLevel="0" collapsed="false">
      <c r="A38" s="3" t="s">
        <v>284</v>
      </c>
    </row>
    <row r="39" customFormat="false" ht="15" hidden="false" customHeight="true" outlineLevel="0" collapsed="false">
      <c r="A39" s="3" t="s">
        <v>285</v>
      </c>
    </row>
    <row r="40" customFormat="false" ht="15" hidden="false" customHeight="true" outlineLevel="0" collapsed="false">
      <c r="A40" s="3" t="s">
        <v>286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71484375" defaultRowHeight="15" zeroHeight="false" outlineLevelRow="0" outlineLevelCol="0"/>
  <cols>
    <col collapsed="false" customWidth="true" hidden="false" outlineLevel="0" max="1" min="1" style="1" width="58"/>
    <col collapsed="false" customWidth="true" hidden="false" outlineLevel="0" max="2" min="2" style="1" width="14"/>
    <col collapsed="false" customWidth="true" hidden="false" outlineLevel="0" max="3" min="3" style="1" width="4"/>
  </cols>
  <sheetData>
    <row r="1" customFormat="false" ht="15.75" hidden="false" customHeight="true" outlineLevel="0" collapsed="false">
      <c r="A1" s="26" t="s">
        <v>287</v>
      </c>
    </row>
    <row r="2" customFormat="false" ht="15" hidden="false" customHeight="true" outlineLevel="0" collapsed="false">
      <c r="A2" s="3" t="s">
        <v>288</v>
      </c>
    </row>
    <row r="4" customFormat="false" ht="15" hidden="false" customHeight="true" outlineLevel="0" collapsed="false">
      <c r="A4" s="4" t="s">
        <v>289</v>
      </c>
      <c r="B4" s="24" t="s">
        <v>290</v>
      </c>
      <c r="C4" s="24" t="s">
        <v>291</v>
      </c>
    </row>
    <row r="5" customFormat="false" ht="15" hidden="false" customHeight="true" outlineLevel="0" collapsed="false">
      <c r="A5" s="5" t="s">
        <v>292</v>
      </c>
      <c r="B5" s="13" t="n">
        <v>2268.181</v>
      </c>
      <c r="C5" s="5" t="str">
        <f aca="false">A5&amp;"  $"&amp;TEXT(B5,"#,##0")&amp;"B"</f>
        <v>Social Security: Old-Age &amp; Survivors (OASI)  $2,268B</v>
      </c>
    </row>
    <row r="6" customFormat="false" ht="15" hidden="false" customHeight="true" outlineLevel="0" collapsed="false">
      <c r="A6" s="5" t="s">
        <v>293</v>
      </c>
      <c r="B6" s="13" t="n">
        <v>2117.291</v>
      </c>
      <c r="C6" s="5" t="str">
        <f aca="false">A6&amp;"  $"&amp;TEXT(B6,"#,##0")&amp;"B"</f>
        <v>Military Retirement Fund  $2,117B</v>
      </c>
    </row>
    <row r="7" customFormat="false" ht="15" hidden="false" customHeight="true" outlineLevel="0" collapsed="false">
      <c r="A7" s="5" t="s">
        <v>294</v>
      </c>
      <c r="B7" s="13" t="n">
        <v>1095.538</v>
      </c>
      <c r="C7" s="5" t="str">
        <f aca="false">A7&amp;"  $"&amp;TEXT(B7,"#,##0")&amp;"B"</f>
        <v>Civil Service Retirement &amp; Disability Fund  $1,096B</v>
      </c>
    </row>
    <row r="8" customFormat="false" ht="15" hidden="false" customHeight="true" outlineLevel="0" collapsed="false">
      <c r="A8" s="5" t="s">
        <v>295</v>
      </c>
      <c r="B8" s="13" t="n">
        <v>505.265</v>
      </c>
      <c r="C8" s="5" t="str">
        <f aca="false">A8&amp;"  $"&amp;TEXT(B8,"#,##0")&amp;"B"</f>
        <v>DoD Medicare-Eligible Retiree Health Care Fund  $505B</v>
      </c>
    </row>
    <row r="9" customFormat="false" ht="15" hidden="false" customHeight="true" outlineLevel="0" collapsed="false">
      <c r="A9" s="5" t="s">
        <v>296</v>
      </c>
      <c r="B9" s="13" t="n">
        <v>277.926</v>
      </c>
      <c r="C9" s="5" t="str">
        <f aca="false">A9&amp;"  $"&amp;TEXT(B9,"#,##0")&amp;"B"</f>
        <v>Medicare Hospital Insurance (HI)  $278B</v>
      </c>
    </row>
    <row r="10" customFormat="false" ht="15" hidden="false" customHeight="true" outlineLevel="0" collapsed="false">
      <c r="A10" s="5" t="s">
        <v>297</v>
      </c>
      <c r="B10" s="13" t="n">
        <v>253.812</v>
      </c>
      <c r="C10" s="5" t="str">
        <f aca="false">A10&amp;"  $"&amp;TEXT(B10,"#,##0")&amp;"B"</f>
        <v>Social Security: Disability Insurance (DI)  $254B</v>
      </c>
    </row>
    <row r="11" customFormat="false" ht="15" hidden="false" customHeight="true" outlineLevel="0" collapsed="false">
      <c r="A11" s="5" t="s">
        <v>298</v>
      </c>
      <c r="B11" s="13" t="n">
        <v>192.391</v>
      </c>
      <c r="C11" s="5" t="str">
        <f aca="false">A11&amp;"  $"&amp;TEXT(B11,"#,##0")&amp;"B"</f>
        <v>FHA Mutual Mortgage Insurance Fund  $192B</v>
      </c>
    </row>
    <row r="12" customFormat="false" ht="15" hidden="false" customHeight="true" outlineLevel="0" collapsed="false">
      <c r="A12" s="5" t="s">
        <v>299</v>
      </c>
      <c r="B12" s="13" t="n">
        <v>191.373</v>
      </c>
      <c r="C12" s="5" t="str">
        <f aca="false">A12&amp;"  $"&amp;TEXT(B12,"#,##0")&amp;"B"</f>
        <v>Medicare Supplementary Medical Insurance (SMI)  $191B</v>
      </c>
    </row>
    <row r="13" customFormat="false" ht="15" hidden="false" customHeight="true" outlineLevel="0" collapsed="false">
      <c r="A13" s="5" t="s">
        <v>300</v>
      </c>
      <c r="B13" s="10" t="n">
        <f aca="false">B14-SUM(B5:B12)</f>
        <v>879.313</v>
      </c>
      <c r="C13" s="5" t="str">
        <f aca="false">A13&amp;"  $"&amp;TEXT(B13,"#,##0")&amp;"B"</f>
        <v>All other funds and instruments (residual)  $879B</v>
      </c>
    </row>
    <row r="14" customFormat="false" ht="15" hidden="false" customHeight="true" outlineLevel="0" collapsed="false">
      <c r="A14" s="4" t="s">
        <v>301</v>
      </c>
      <c r="B14" s="13" t="n">
        <v>7781.09</v>
      </c>
    </row>
    <row r="16" customFormat="false" ht="15" hidden="false" customHeight="true" outlineLevel="0" collapsed="false">
      <c r="A16" s="3" t="s">
        <v>302</v>
      </c>
    </row>
    <row r="18" customFormat="false" ht="15" hidden="false" customHeight="true" outlineLevel="0" collapsed="false">
      <c r="A18" s="3" t="s">
        <v>303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72"/>
    <col collapsed="false" customWidth="true" hidden="false" outlineLevel="0" max="2" min="2" style="1" width="16"/>
  </cols>
  <sheetData>
    <row r="1" customFormat="false" ht="15.75" hidden="false" customHeight="true" outlineLevel="0" collapsed="false">
      <c r="A1" s="2" t="s">
        <v>304</v>
      </c>
    </row>
    <row r="2" customFormat="false" ht="15" hidden="false" customHeight="true" outlineLevel="0" collapsed="false">
      <c r="A2" s="3" t="s">
        <v>305</v>
      </c>
    </row>
    <row r="4" customFormat="false" ht="15" hidden="false" customHeight="true" outlineLevel="0" collapsed="false">
      <c r="A4" s="4" t="s">
        <v>306</v>
      </c>
      <c r="B4" s="12" t="n">
        <f aca="false">B6+B9</f>
        <v>204600</v>
      </c>
    </row>
    <row r="6" customFormat="false" ht="15" hidden="false" customHeight="true" outlineLevel="0" collapsed="false">
      <c r="A6" s="4" t="s">
        <v>307</v>
      </c>
      <c r="B6" s="12" t="n">
        <f aca="false">B7+B8</f>
        <v>62900</v>
      </c>
    </row>
    <row r="7" customFormat="false" ht="15" hidden="false" customHeight="true" outlineLevel="0" collapsed="false">
      <c r="A7" s="5" t="s">
        <v>308</v>
      </c>
      <c r="B7" s="13" t="n">
        <v>48700</v>
      </c>
    </row>
    <row r="8" customFormat="false" ht="15" hidden="false" customHeight="true" outlineLevel="0" collapsed="false">
      <c r="A8" s="5" t="s">
        <v>309</v>
      </c>
      <c r="B8" s="13" t="n">
        <v>14200</v>
      </c>
    </row>
    <row r="9" customFormat="false" ht="15" hidden="false" customHeight="true" outlineLevel="0" collapsed="false">
      <c r="A9" s="4" t="s">
        <v>310</v>
      </c>
      <c r="B9" s="12" t="n">
        <f aca="false">SUM(B10:B15)</f>
        <v>141700</v>
      </c>
    </row>
    <row r="10" customFormat="false" ht="15" hidden="false" customHeight="true" outlineLevel="0" collapsed="false">
      <c r="A10" s="5" t="s">
        <v>311</v>
      </c>
      <c r="B10" s="13" t="n">
        <v>20600</v>
      </c>
    </row>
    <row r="11" customFormat="false" ht="15" hidden="false" customHeight="true" outlineLevel="0" collapsed="false">
      <c r="A11" s="5" t="s">
        <v>312</v>
      </c>
      <c r="B11" s="13" t="n">
        <v>12200</v>
      </c>
    </row>
    <row r="12" customFormat="false" ht="15" hidden="false" customHeight="true" outlineLevel="0" collapsed="false">
      <c r="A12" s="5" t="s">
        <v>313</v>
      </c>
      <c r="B12" s="13" t="n">
        <v>64800</v>
      </c>
    </row>
    <row r="13" customFormat="false" ht="15" hidden="false" customHeight="true" outlineLevel="0" collapsed="false">
      <c r="A13" s="5" t="s">
        <v>314</v>
      </c>
      <c r="B13" s="13" t="n">
        <v>16600</v>
      </c>
    </row>
    <row r="14" customFormat="false" ht="15" hidden="false" customHeight="true" outlineLevel="0" collapsed="false">
      <c r="A14" s="5" t="s">
        <v>315</v>
      </c>
      <c r="B14" s="13" t="n">
        <v>16700</v>
      </c>
    </row>
    <row r="15" customFormat="false" ht="15" hidden="false" customHeight="true" outlineLevel="0" collapsed="false">
      <c r="A15" s="5" t="s">
        <v>316</v>
      </c>
      <c r="B15" s="13" t="n">
        <v>10800</v>
      </c>
    </row>
    <row r="17" customFormat="false" ht="15" hidden="false" customHeight="true" outlineLevel="0" collapsed="false">
      <c r="A17" s="4" t="s">
        <v>317</v>
      </c>
      <c r="B17" s="12" t="n">
        <f aca="false">SUM(B18:B20)</f>
        <v>21600</v>
      </c>
    </row>
    <row r="18" customFormat="false" ht="15" hidden="false" customHeight="true" outlineLevel="0" collapsed="false">
      <c r="A18" s="5" t="s">
        <v>318</v>
      </c>
      <c r="B18" s="13" t="n">
        <v>13800</v>
      </c>
    </row>
    <row r="19" customFormat="false" ht="15" hidden="false" customHeight="true" outlineLevel="0" collapsed="false">
      <c r="A19" s="5" t="s">
        <v>319</v>
      </c>
      <c r="B19" s="13" t="n">
        <v>5100</v>
      </c>
    </row>
    <row r="20" customFormat="false" ht="15" hidden="false" customHeight="true" outlineLevel="0" collapsed="false">
      <c r="A20" s="5" t="s">
        <v>320</v>
      </c>
      <c r="B20" s="13" t="n">
        <v>2700</v>
      </c>
    </row>
    <row r="22" customFormat="false" ht="15" hidden="false" customHeight="true" outlineLevel="0" collapsed="false">
      <c r="A22" s="4" t="s">
        <v>321</v>
      </c>
      <c r="B22" s="12" t="n">
        <f aca="false">B4-B17</f>
        <v>183000</v>
      </c>
    </row>
    <row r="23" customFormat="false" ht="15" hidden="false" customHeight="true" outlineLevel="0" collapsed="false">
      <c r="A23" s="5" t="s">
        <v>322</v>
      </c>
      <c r="B23" s="6" t="n">
        <v>182979.9</v>
      </c>
    </row>
    <row r="25" customFormat="false" ht="15" hidden="false" customHeight="true" outlineLevel="0" collapsed="false">
      <c r="A25" s="3" t="s">
        <v>323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4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26"/>
    <col collapsed="false" customWidth="true" hidden="false" outlineLevel="0" max="19" min="2" style="1" width="15"/>
  </cols>
  <sheetData>
    <row r="1" customFormat="false" ht="15.75" hidden="false" customHeight="true" outlineLevel="0" collapsed="false">
      <c r="A1" s="26" t="s">
        <v>324</v>
      </c>
    </row>
    <row r="2" customFormat="false" ht="15" hidden="false" customHeight="true" outlineLevel="0" collapsed="false">
      <c r="A2" s="3" t="s">
        <v>325</v>
      </c>
    </row>
    <row r="4" customFormat="false" ht="15" hidden="false" customHeight="true" outlineLevel="0" collapsed="false">
      <c r="A4" s="4" t="s">
        <v>326</v>
      </c>
    </row>
    <row r="5" customFormat="false" ht="45" hidden="false" customHeight="true" outlineLevel="0" collapsed="false">
      <c r="A5" s="4" t="s">
        <v>327</v>
      </c>
      <c r="B5" s="33" t="s">
        <v>328</v>
      </c>
      <c r="C5" s="33" t="s">
        <v>329</v>
      </c>
      <c r="D5" s="33" t="s">
        <v>330</v>
      </c>
      <c r="E5" s="33" t="s">
        <v>331</v>
      </c>
      <c r="F5" s="33" t="s">
        <v>332</v>
      </c>
      <c r="G5" s="33" t="s">
        <v>333</v>
      </c>
      <c r="H5" s="33" t="s">
        <v>334</v>
      </c>
      <c r="I5" s="33" t="s">
        <v>335</v>
      </c>
      <c r="J5" s="33" t="s">
        <v>336</v>
      </c>
      <c r="K5" s="33" t="s">
        <v>337</v>
      </c>
      <c r="L5" s="33" t="s">
        <v>338</v>
      </c>
      <c r="M5" s="33" t="s">
        <v>339</v>
      </c>
      <c r="N5" s="33" t="s">
        <v>340</v>
      </c>
      <c r="O5" s="33" t="s">
        <v>341</v>
      </c>
      <c r="P5" s="33" t="s">
        <v>342</v>
      </c>
      <c r="Q5" s="33" t="s">
        <v>114</v>
      </c>
      <c r="R5" s="33" t="s">
        <v>343</v>
      </c>
      <c r="S5" s="33" t="s">
        <v>344</v>
      </c>
    </row>
    <row r="6" customFormat="false" ht="15" hidden="false" customHeight="true" outlineLevel="0" collapsed="false">
      <c r="A6" s="5" t="s">
        <v>345</v>
      </c>
      <c r="B6" s="34" t="n">
        <v>1996</v>
      </c>
      <c r="C6" s="13" t="n">
        <v>3764</v>
      </c>
      <c r="D6" s="13" t="n">
        <v>5075.5</v>
      </c>
      <c r="E6" s="13" t="n">
        <v>4374.2</v>
      </c>
      <c r="F6" s="13" t="n">
        <v>3172.8</v>
      </c>
      <c r="G6" s="10" t="n">
        <f aca="false">E6-F6</f>
        <v>1201.4</v>
      </c>
      <c r="H6" s="13" t="n">
        <v>1054.3</v>
      </c>
      <c r="I6" s="10" t="n">
        <f aca="false">C6+D6+E6+H6</f>
        <v>14268</v>
      </c>
      <c r="J6" s="13" t="n">
        <v>14719.2</v>
      </c>
      <c r="K6" s="10" t="n">
        <f aca="false">J6-I6</f>
        <v>451.200000000001</v>
      </c>
      <c r="L6" s="13" t="n">
        <v>7868.5</v>
      </c>
      <c r="M6" s="18" t="n">
        <f aca="false">C6/L6</f>
        <v>0.47836309334689</v>
      </c>
      <c r="N6" s="18" t="n">
        <f aca="false">D6/L6</f>
        <v>0.645040350765711</v>
      </c>
      <c r="O6" s="18" t="n">
        <f aca="false">E6/L6</f>
        <v>0.555912816928258</v>
      </c>
      <c r="P6" s="18" t="n">
        <f aca="false">H6/L6</f>
        <v>0.133989959966957</v>
      </c>
      <c r="Q6" s="13" t="n">
        <v>5117.8</v>
      </c>
      <c r="R6" s="18" t="n">
        <f aca="false">Q6/L6</f>
        <v>0.6504162165597</v>
      </c>
      <c r="S6" s="18" t="n">
        <f aca="false">(Q6+D6+E6+H6)/L6</f>
        <v>1.98535934422063</v>
      </c>
    </row>
    <row r="7" customFormat="false" ht="15" hidden="false" customHeight="true" outlineLevel="0" collapsed="false">
      <c r="A7" s="5" t="s">
        <v>346</v>
      </c>
      <c r="B7" s="34" t="n">
        <v>1996.25</v>
      </c>
      <c r="C7" s="13" t="n">
        <v>3738.6</v>
      </c>
      <c r="D7" s="13" t="n">
        <v>5166.2</v>
      </c>
      <c r="E7" s="13" t="n">
        <v>4451.6</v>
      </c>
      <c r="F7" s="13" t="n">
        <v>3232.4</v>
      </c>
      <c r="G7" s="10" t="n">
        <f aca="false">E7-F7</f>
        <v>1219.2</v>
      </c>
      <c r="H7" s="13" t="n">
        <v>1050.7</v>
      </c>
      <c r="I7" s="10" t="n">
        <f aca="false">C7+D7+E7+H7</f>
        <v>14407.1</v>
      </c>
      <c r="J7" s="13" t="n">
        <v>14948.3</v>
      </c>
      <c r="K7" s="10" t="n">
        <f aca="false">J7-I7</f>
        <v>541.199999999999</v>
      </c>
      <c r="L7" s="13" t="n">
        <v>8032.8</v>
      </c>
      <c r="M7" s="18" t="n">
        <f aca="false">C7/L7</f>
        <v>0.465416791156259</v>
      </c>
      <c r="N7" s="18" t="n">
        <f aca="false">D7/L7</f>
        <v>0.643138133652027</v>
      </c>
      <c r="O7" s="18" t="n">
        <f aca="false">E7/L7</f>
        <v>0.554177870730007</v>
      </c>
      <c r="P7" s="18" t="n">
        <f aca="false">H7/L7</f>
        <v>0.130801215018424</v>
      </c>
      <c r="Q7" s="13" t="n">
        <v>5161.1</v>
      </c>
      <c r="R7" s="18" t="n">
        <f aca="false">Q7/L7</f>
        <v>0.64250323672941</v>
      </c>
      <c r="S7" s="18" t="n">
        <f aca="false">(Q7+D7+E7+H7)/L7</f>
        <v>1.97062045612987</v>
      </c>
    </row>
    <row r="8" customFormat="false" ht="15" hidden="false" customHeight="true" outlineLevel="0" collapsed="false">
      <c r="A8" s="5" t="s">
        <v>347</v>
      </c>
      <c r="B8" s="34" t="n">
        <v>1996.5</v>
      </c>
      <c r="C8" s="13" t="n">
        <v>3777.8</v>
      </c>
      <c r="D8" s="13" t="n">
        <v>5236.8</v>
      </c>
      <c r="E8" s="13" t="n">
        <v>4517.7</v>
      </c>
      <c r="F8" s="13" t="n">
        <v>3277.8</v>
      </c>
      <c r="G8" s="10" t="n">
        <f aca="false">E8-F8</f>
        <v>1239.9</v>
      </c>
      <c r="H8" s="13" t="n">
        <v>1041.9</v>
      </c>
      <c r="I8" s="10" t="n">
        <f aca="false">C8+D8+E8+H8</f>
        <v>14574.2</v>
      </c>
      <c r="J8" s="13" t="n">
        <v>15124.1</v>
      </c>
      <c r="K8" s="10" t="n">
        <f aca="false">J8-I8</f>
        <v>549.900000000002</v>
      </c>
      <c r="L8" s="13" t="n">
        <v>8131.4</v>
      </c>
      <c r="M8" s="18" t="n">
        <f aca="false">C8/L8</f>
        <v>0.46459404284625</v>
      </c>
      <c r="N8" s="18" t="n">
        <f aca="false">D8/L8</f>
        <v>0.64402193964139</v>
      </c>
      <c r="O8" s="18" t="n">
        <f aca="false">E8/L8</f>
        <v>0.555586983791229</v>
      </c>
      <c r="P8" s="18" t="n">
        <f aca="false">H8/L8</f>
        <v>0.128132916840888</v>
      </c>
      <c r="Q8" s="13" t="n">
        <v>5224.8</v>
      </c>
      <c r="R8" s="18" t="n">
        <f aca="false">Q8/L8</f>
        <v>0.642546179009765</v>
      </c>
      <c r="S8" s="18" t="n">
        <f aca="false">(Q8+D8+E8+H8)/L8</f>
        <v>1.97028801928327</v>
      </c>
    </row>
    <row r="9" customFormat="false" ht="15" hidden="false" customHeight="true" outlineLevel="0" collapsed="false">
      <c r="A9" s="5" t="s">
        <v>348</v>
      </c>
      <c r="B9" s="34" t="n">
        <v>1996.75</v>
      </c>
      <c r="C9" s="13" t="n">
        <v>3826</v>
      </c>
      <c r="D9" s="13" t="n">
        <v>5316.5</v>
      </c>
      <c r="E9" s="13" t="n">
        <v>4560.8</v>
      </c>
      <c r="F9" s="13" t="n">
        <v>3302.6</v>
      </c>
      <c r="G9" s="10" t="n">
        <f aca="false">E9-F9</f>
        <v>1258.2</v>
      </c>
      <c r="H9" s="13" t="n">
        <v>1039.2</v>
      </c>
      <c r="I9" s="10" t="n">
        <f aca="false">C9+D9+E9+H9</f>
        <v>14742.5</v>
      </c>
      <c r="J9" s="13" t="n">
        <v>15259.7</v>
      </c>
      <c r="K9" s="10" t="n">
        <f aca="false">J9-I9</f>
        <v>517.200000000001</v>
      </c>
      <c r="L9" s="13" t="n">
        <v>8259.8</v>
      </c>
      <c r="M9" s="18" t="n">
        <f aca="false">C9/L9</f>
        <v>0.463207341582121</v>
      </c>
      <c r="N9" s="18" t="n">
        <f aca="false">D9/L9</f>
        <v>0.643659652776096</v>
      </c>
      <c r="O9" s="18" t="n">
        <f aca="false">E9/L9</f>
        <v>0.55216833337369</v>
      </c>
      <c r="P9" s="18" t="n">
        <f aca="false">H9/L9</f>
        <v>0.125814184362818</v>
      </c>
      <c r="Q9" s="13" t="n">
        <v>5323.2</v>
      </c>
      <c r="R9" s="18" t="n">
        <f aca="false">Q9/L9</f>
        <v>0.644470810431245</v>
      </c>
      <c r="S9" s="18" t="n">
        <f aca="false">(Q9+D9+E9+H9)/L9</f>
        <v>1.96611298094385</v>
      </c>
    </row>
    <row r="10" customFormat="false" ht="15" hidden="false" customHeight="true" outlineLevel="0" collapsed="false">
      <c r="A10" s="5" t="s">
        <v>349</v>
      </c>
      <c r="B10" s="34" t="n">
        <v>1997</v>
      </c>
      <c r="C10" s="13" t="n">
        <v>3874.1</v>
      </c>
      <c r="D10" s="13" t="n">
        <v>5396.6</v>
      </c>
      <c r="E10" s="13" t="n">
        <v>4648.5</v>
      </c>
      <c r="F10" s="13" t="n">
        <v>3366.6</v>
      </c>
      <c r="G10" s="10" t="n">
        <f aca="false">E10-F10</f>
        <v>1281.9</v>
      </c>
      <c r="H10" s="13" t="n">
        <v>1044.3</v>
      </c>
      <c r="I10" s="10" t="n">
        <f aca="false">C10+D10+E10+H10</f>
        <v>14963.5</v>
      </c>
      <c r="J10" s="13" t="n">
        <v>15459.1</v>
      </c>
      <c r="K10" s="10" t="n">
        <f aca="false">J10-I10</f>
        <v>495.6</v>
      </c>
      <c r="L10" s="13" t="n">
        <v>8362.7</v>
      </c>
      <c r="M10" s="18" t="n">
        <f aca="false">C10/L10</f>
        <v>0.463259473614981</v>
      </c>
      <c r="N10" s="18" t="n">
        <f aca="false">D10/L10</f>
        <v>0.645317899721382</v>
      </c>
      <c r="O10" s="18" t="n">
        <f aca="false">E10/L10</f>
        <v>0.555861145323879</v>
      </c>
      <c r="P10" s="18" t="n">
        <f aca="false">H10/L10</f>
        <v>0.124875937197317</v>
      </c>
      <c r="Q10" s="13" t="n">
        <v>5380.9</v>
      </c>
      <c r="R10" s="18" t="n">
        <f aca="false">Q10/L10</f>
        <v>0.643440515622945</v>
      </c>
      <c r="S10" s="18" t="n">
        <f aca="false">(Q10+D10+E10+H10)/L10</f>
        <v>1.96949549786552</v>
      </c>
    </row>
    <row r="11" customFormat="false" ht="15" hidden="false" customHeight="true" outlineLevel="0" collapsed="false">
      <c r="A11" s="5" t="s">
        <v>350</v>
      </c>
      <c r="B11" s="34" t="n">
        <v>1997.25</v>
      </c>
      <c r="C11" s="13" t="n">
        <v>3804.6</v>
      </c>
      <c r="D11" s="13" t="n">
        <v>5478.9</v>
      </c>
      <c r="E11" s="13" t="n">
        <v>4747.6</v>
      </c>
      <c r="F11" s="13" t="n">
        <v>3441.5</v>
      </c>
      <c r="G11" s="10" t="n">
        <f aca="false">E11-F11</f>
        <v>1306.1</v>
      </c>
      <c r="H11" s="13" t="n">
        <v>1051.8</v>
      </c>
      <c r="I11" s="10" t="n">
        <f aca="false">C11+D11+E11+H11</f>
        <v>15082.9</v>
      </c>
      <c r="J11" s="13" t="n">
        <v>15674.1</v>
      </c>
      <c r="K11" s="10" t="n">
        <f aca="false">J11-I11</f>
        <v>591.200000000001</v>
      </c>
      <c r="L11" s="13" t="n">
        <v>8518.8</v>
      </c>
      <c r="M11" s="18" t="n">
        <f aca="false">C11/L11</f>
        <v>0.446612198901254</v>
      </c>
      <c r="N11" s="18" t="n">
        <f aca="false">D11/L11</f>
        <v>0.643153965347232</v>
      </c>
      <c r="O11" s="18" t="n">
        <f aca="false">E11/L11</f>
        <v>0.557308541109077</v>
      </c>
      <c r="P11" s="18" t="n">
        <f aca="false">H11/L11</f>
        <v>0.12346809409776</v>
      </c>
      <c r="Q11" s="13" t="n">
        <v>5376.2</v>
      </c>
      <c r="R11" s="18" t="n">
        <f aca="false">Q11/L11</f>
        <v>0.631098276752594</v>
      </c>
      <c r="S11" s="18" t="n">
        <f aca="false">(Q11+D11+E11+H11)/L11</f>
        <v>1.95502887730666</v>
      </c>
    </row>
    <row r="12" customFormat="false" ht="15" hidden="false" customHeight="true" outlineLevel="0" collapsed="false">
      <c r="A12" s="5" t="s">
        <v>351</v>
      </c>
      <c r="B12" s="34" t="n">
        <v>1997.5</v>
      </c>
      <c r="C12" s="13" t="n">
        <v>3816.4</v>
      </c>
      <c r="D12" s="13" t="n">
        <v>5576.5</v>
      </c>
      <c r="E12" s="13" t="n">
        <v>4877.1</v>
      </c>
      <c r="F12" s="13" t="n">
        <v>3544.4</v>
      </c>
      <c r="G12" s="10" t="n">
        <f aca="false">E12-F12</f>
        <v>1332.7</v>
      </c>
      <c r="H12" s="13" t="n">
        <v>1070.9</v>
      </c>
      <c r="I12" s="10" t="n">
        <f aca="false">C12+D12+E12+H12</f>
        <v>15340.9</v>
      </c>
      <c r="J12" s="13" t="n">
        <v>15940.3</v>
      </c>
      <c r="K12" s="10" t="n">
        <f aca="false">J12-I12</f>
        <v>599.4</v>
      </c>
      <c r="L12" s="13" t="n">
        <v>8662.8</v>
      </c>
      <c r="M12" s="18" t="n">
        <f aca="false">C12/L12</f>
        <v>0.440550399408967</v>
      </c>
      <c r="N12" s="18" t="n">
        <f aca="false">D12/L12</f>
        <v>0.643729510089117</v>
      </c>
      <c r="O12" s="18" t="n">
        <f aca="false">E12/L12</f>
        <v>0.562993489402965</v>
      </c>
      <c r="P12" s="18" t="n">
        <f aca="false">H12/L12</f>
        <v>0.123620538394053</v>
      </c>
      <c r="Q12" s="13" t="n">
        <v>5413.1</v>
      </c>
      <c r="R12" s="18" t="n">
        <f aca="false">Q12/L12</f>
        <v>0.6248672484647</v>
      </c>
      <c r="S12" s="18" t="n">
        <f aca="false">(Q12+D12+E12+H12)/L12</f>
        <v>1.95521078635083</v>
      </c>
    </row>
    <row r="13" customFormat="false" ht="15" hidden="false" customHeight="true" outlineLevel="0" collapsed="false">
      <c r="A13" s="5" t="s">
        <v>352</v>
      </c>
      <c r="B13" s="34" t="n">
        <v>1997.75</v>
      </c>
      <c r="C13" s="13" t="n">
        <v>3846.7</v>
      </c>
      <c r="D13" s="13" t="n">
        <v>5656.4</v>
      </c>
      <c r="E13" s="13" t="n">
        <v>4986.3</v>
      </c>
      <c r="F13" s="13" t="n">
        <v>3623.5</v>
      </c>
      <c r="G13" s="10" t="n">
        <f aca="false">E13-F13</f>
        <v>1362.8</v>
      </c>
      <c r="H13" s="13" t="n">
        <v>1090</v>
      </c>
      <c r="I13" s="10" t="n">
        <f aca="false">C13+D13+E13+H13</f>
        <v>15579.4</v>
      </c>
      <c r="J13" s="13" t="n">
        <v>16139.2</v>
      </c>
      <c r="K13" s="10" t="n">
        <f aca="false">J13-I13</f>
        <v>559.800000000003</v>
      </c>
      <c r="L13" s="13" t="n">
        <v>8765.9</v>
      </c>
      <c r="M13" s="18" t="n">
        <f aca="false">C13/L13</f>
        <v>0.438825448613377</v>
      </c>
      <c r="N13" s="18" t="n">
        <f aca="false">D13/L13</f>
        <v>0.645273160770714</v>
      </c>
      <c r="O13" s="18" t="n">
        <f aca="false">E13/L13</f>
        <v>0.568829213201155</v>
      </c>
      <c r="P13" s="18" t="n">
        <f aca="false">H13/L13</f>
        <v>0.12434547507957</v>
      </c>
      <c r="Q13" s="13" t="n">
        <v>5502.4</v>
      </c>
      <c r="R13" s="18" t="n">
        <f aca="false">Q13/L13</f>
        <v>0.627705084475068</v>
      </c>
      <c r="S13" s="18" t="n">
        <f aca="false">(Q13+D13+E13+H13)/L13</f>
        <v>1.96615293352651</v>
      </c>
    </row>
    <row r="14" customFormat="false" ht="15" hidden="false" customHeight="true" outlineLevel="0" collapsed="false">
      <c r="A14" s="5" t="s">
        <v>353</v>
      </c>
      <c r="B14" s="34" t="n">
        <v>1998</v>
      </c>
      <c r="C14" s="13" t="n">
        <v>3872</v>
      </c>
      <c r="D14" s="13" t="n">
        <v>5765.4</v>
      </c>
      <c r="E14" s="13" t="n">
        <v>5144.1</v>
      </c>
      <c r="F14" s="13" t="n">
        <v>3738.3</v>
      </c>
      <c r="G14" s="10" t="n">
        <f aca="false">E14-F14</f>
        <v>1405.8</v>
      </c>
      <c r="H14" s="13" t="n">
        <v>1105.5</v>
      </c>
      <c r="I14" s="10" t="n">
        <f aca="false">C14+D14+E14+H14</f>
        <v>15887</v>
      </c>
      <c r="J14" s="13" t="n">
        <v>16422.7</v>
      </c>
      <c r="K14" s="10" t="n">
        <f aca="false">J14-I14</f>
        <v>535.700000000001</v>
      </c>
      <c r="L14" s="13" t="n">
        <v>8866.5</v>
      </c>
      <c r="M14" s="18" t="n">
        <f aca="false">C14/L14</f>
        <v>0.436699937968759</v>
      </c>
      <c r="N14" s="18" t="n">
        <f aca="false">D14/L14</f>
        <v>0.650245305362883</v>
      </c>
      <c r="O14" s="18" t="n">
        <f aca="false">E14/L14</f>
        <v>0.58017255963458</v>
      </c>
      <c r="P14" s="18" t="n">
        <f aca="false">H14/L14</f>
        <v>0.124682794789376</v>
      </c>
      <c r="Q14" s="13" t="n">
        <v>5542.4</v>
      </c>
      <c r="R14" s="18" t="n">
        <f aca="false">Q14/L14</f>
        <v>0.625094456662719</v>
      </c>
      <c r="S14" s="18" t="n">
        <f aca="false">(Q14+D14+E14+H14)/L14</f>
        <v>1.98019511644956</v>
      </c>
    </row>
    <row r="15" customFormat="false" ht="15" hidden="false" customHeight="true" outlineLevel="0" collapsed="false">
      <c r="A15" s="5" t="s">
        <v>354</v>
      </c>
      <c r="B15" s="34" t="n">
        <v>1998.25</v>
      </c>
      <c r="C15" s="13" t="n">
        <v>3790.4</v>
      </c>
      <c r="D15" s="13" t="n">
        <v>5888.7</v>
      </c>
      <c r="E15" s="13" t="n">
        <v>5322.9</v>
      </c>
      <c r="F15" s="13" t="n">
        <v>3868.8</v>
      </c>
      <c r="G15" s="10" t="n">
        <f aca="false">E15-F15</f>
        <v>1454.1</v>
      </c>
      <c r="H15" s="13" t="n">
        <v>1123.2</v>
      </c>
      <c r="I15" s="10" t="n">
        <f aca="false">C15+D15+E15+H15</f>
        <v>16125.2</v>
      </c>
      <c r="J15" s="13" t="n">
        <v>16770.2</v>
      </c>
      <c r="K15" s="10" t="n">
        <f aca="false">J15-I15</f>
        <v>645</v>
      </c>
      <c r="L15" s="13" t="n">
        <v>8969.7</v>
      </c>
      <c r="M15" s="18" t="n">
        <f aca="false">C15/L15</f>
        <v>0.422578235615461</v>
      </c>
      <c r="N15" s="18" t="n">
        <f aca="false">D15/L15</f>
        <v>0.656510251178969</v>
      </c>
      <c r="O15" s="18" t="n">
        <f aca="false">E15/L15</f>
        <v>0.593431218435399</v>
      </c>
      <c r="P15" s="18" t="n">
        <f aca="false">H15/L15</f>
        <v>0.125221579317034</v>
      </c>
      <c r="Q15" s="13" t="n">
        <v>5547.9</v>
      </c>
      <c r="R15" s="18" t="n">
        <f aca="false">Q15/L15</f>
        <v>0.618515669420382</v>
      </c>
      <c r="S15" s="18" t="n">
        <f aca="false">(Q15+D15+E15+H15)/L15</f>
        <v>1.99367871835178</v>
      </c>
    </row>
    <row r="16" customFormat="false" ht="15" hidden="false" customHeight="true" outlineLevel="0" collapsed="false">
      <c r="A16" s="5" t="s">
        <v>355</v>
      </c>
      <c r="B16" s="34" t="n">
        <v>1998.5</v>
      </c>
      <c r="C16" s="13" t="n">
        <v>3762.3</v>
      </c>
      <c r="D16" s="13" t="n">
        <v>5979</v>
      </c>
      <c r="E16" s="13" t="n">
        <v>5471.1</v>
      </c>
      <c r="F16" s="13" t="n">
        <v>3971.8</v>
      </c>
      <c r="G16" s="10" t="n">
        <f aca="false">E16-F16</f>
        <v>1499.3</v>
      </c>
      <c r="H16" s="13" t="n">
        <v>1139.4</v>
      </c>
      <c r="I16" s="10" t="n">
        <f aca="false">C16+D16+E16+H16</f>
        <v>16351.8</v>
      </c>
      <c r="J16" s="13" t="n">
        <v>16995</v>
      </c>
      <c r="K16" s="10" t="n">
        <f aca="false">J16-I16</f>
        <v>643.200000000001</v>
      </c>
      <c r="L16" s="13" t="n">
        <v>9121.1</v>
      </c>
      <c r="M16" s="18" t="n">
        <f aca="false">C16/L16</f>
        <v>0.412483143480501</v>
      </c>
      <c r="N16" s="18" t="n">
        <f aca="false">D16/L16</f>
        <v>0.655513041190207</v>
      </c>
      <c r="O16" s="18" t="n">
        <f aca="false">E16/L16</f>
        <v>0.599828967997281</v>
      </c>
      <c r="P16" s="18" t="n">
        <f aca="false">H16/L16</f>
        <v>0.124919143524356</v>
      </c>
      <c r="Q16" s="13" t="n">
        <v>5526.2</v>
      </c>
      <c r="R16" s="18" t="n">
        <f aca="false">Q16/L16</f>
        <v>0.605869906042034</v>
      </c>
      <c r="S16" s="18" t="n">
        <f aca="false">(Q16+D16+E16+H16)/L16</f>
        <v>1.98613105875388</v>
      </c>
    </row>
    <row r="17" customFormat="false" ht="15" hidden="false" customHeight="true" outlineLevel="0" collapsed="false">
      <c r="A17" s="5" t="s">
        <v>356</v>
      </c>
      <c r="B17" s="34" t="n">
        <v>1998.75</v>
      </c>
      <c r="C17" s="13" t="n">
        <v>3787.4</v>
      </c>
      <c r="D17" s="13" t="n">
        <v>6110.8</v>
      </c>
      <c r="E17" s="13" t="n">
        <v>5616.1</v>
      </c>
      <c r="F17" s="13" t="n">
        <v>4070.6</v>
      </c>
      <c r="G17" s="10" t="n">
        <f aca="false">E17-F17</f>
        <v>1545.5</v>
      </c>
      <c r="H17" s="13" t="n">
        <v>1156.9</v>
      </c>
      <c r="I17" s="10" t="n">
        <f aca="false">C17+D17+E17+H17</f>
        <v>16671.2</v>
      </c>
      <c r="J17" s="13" t="n">
        <v>17278.9</v>
      </c>
      <c r="K17" s="10" t="n">
        <f aca="false">J17-I17</f>
        <v>607.700000000001</v>
      </c>
      <c r="L17" s="13" t="n">
        <v>9294</v>
      </c>
      <c r="M17" s="18" t="n">
        <f aca="false">C17/L17</f>
        <v>0.407510221648375</v>
      </c>
      <c r="N17" s="18" t="n">
        <f aca="false">D17/L17</f>
        <v>0.657499462018507</v>
      </c>
      <c r="O17" s="18" t="n">
        <f aca="false">E17/L17</f>
        <v>0.604271573057887</v>
      </c>
      <c r="P17" s="18" t="n">
        <f aca="false">H17/L17</f>
        <v>0.124478157951366</v>
      </c>
      <c r="Q17" s="13" t="n">
        <v>5614.2</v>
      </c>
      <c r="R17" s="18" t="n">
        <f aca="false">Q17/L17</f>
        <v>0.604067140090381</v>
      </c>
      <c r="S17" s="18" t="n">
        <f aca="false">(Q17+D17+E17+H17)/L17</f>
        <v>1.99031633311814</v>
      </c>
    </row>
    <row r="18" customFormat="false" ht="15" hidden="false" customHeight="true" outlineLevel="0" collapsed="false">
      <c r="A18" s="5" t="s">
        <v>357</v>
      </c>
      <c r="B18" s="34" t="n">
        <v>1999</v>
      </c>
      <c r="C18" s="13" t="n">
        <v>3794.5</v>
      </c>
      <c r="D18" s="13" t="n">
        <v>6252</v>
      </c>
      <c r="E18" s="13" t="n">
        <v>5784.7</v>
      </c>
      <c r="F18" s="13" t="n">
        <v>4191</v>
      </c>
      <c r="G18" s="10" t="n">
        <f aca="false">E18-F18</f>
        <v>1593.7</v>
      </c>
      <c r="H18" s="13" t="n">
        <v>1172.6</v>
      </c>
      <c r="I18" s="10" t="n">
        <f aca="false">C18+D18+E18+H18</f>
        <v>17003.8</v>
      </c>
      <c r="J18" s="13" t="n">
        <v>17589.5</v>
      </c>
      <c r="K18" s="10" t="n">
        <f aca="false">J18-I18</f>
        <v>585.700000000001</v>
      </c>
      <c r="L18" s="13" t="n">
        <v>9411.7</v>
      </c>
      <c r="M18" s="18" t="n">
        <f aca="false">C18/L18</f>
        <v>0.403168396782728</v>
      </c>
      <c r="N18" s="18" t="n">
        <f aca="false">D18/L18</f>
        <v>0.664279566922023</v>
      </c>
      <c r="O18" s="18" t="n">
        <f aca="false">E18/L18</f>
        <v>0.614628600571629</v>
      </c>
      <c r="P18" s="18" t="n">
        <f aca="false">H18/L18</f>
        <v>0.124589606553545</v>
      </c>
      <c r="Q18" s="13" t="n">
        <v>5651.6</v>
      </c>
      <c r="R18" s="18" t="n">
        <f aca="false">Q18/L18</f>
        <v>0.60048662834557</v>
      </c>
      <c r="S18" s="18" t="n">
        <f aca="false">(Q18+D18+E18+H18)/L18</f>
        <v>2.00398440239277</v>
      </c>
    </row>
    <row r="19" customFormat="false" ht="15" hidden="false" customHeight="true" outlineLevel="0" collapsed="false">
      <c r="A19" s="5" t="s">
        <v>358</v>
      </c>
      <c r="B19" s="34" t="n">
        <v>1999.25</v>
      </c>
      <c r="C19" s="13" t="n">
        <v>3685.2</v>
      </c>
      <c r="D19" s="13" t="n">
        <v>6394</v>
      </c>
      <c r="E19" s="13" t="n">
        <v>5890</v>
      </c>
      <c r="F19" s="13" t="n">
        <v>4259.5</v>
      </c>
      <c r="G19" s="10" t="n">
        <f aca="false">E19-F19</f>
        <v>1630.5</v>
      </c>
      <c r="H19" s="13" t="n">
        <v>1178</v>
      </c>
      <c r="I19" s="10" t="n">
        <f aca="false">C19+D19+E19+H19</f>
        <v>17147.2</v>
      </c>
      <c r="J19" s="13" t="n">
        <v>17840.9</v>
      </c>
      <c r="K19" s="10" t="n">
        <f aca="false">J19-I19</f>
        <v>693.700000000001</v>
      </c>
      <c r="L19" s="13" t="n">
        <v>9526.2</v>
      </c>
      <c r="M19" s="18" t="n">
        <f aca="false">C19/L19</f>
        <v>0.386848900925868</v>
      </c>
      <c r="N19" s="18" t="n">
        <f aca="false">D19/L19</f>
        <v>0.671201528416368</v>
      </c>
      <c r="O19" s="18" t="n">
        <f aca="false">E19/L19</f>
        <v>0.618294808003191</v>
      </c>
      <c r="P19" s="18" t="n">
        <f aca="false">H19/L19</f>
        <v>0.123658961600638</v>
      </c>
      <c r="Q19" s="13" t="n">
        <v>5638.8</v>
      </c>
      <c r="R19" s="18" t="n">
        <f aca="false">Q19/L19</f>
        <v>0.591925426717894</v>
      </c>
      <c r="S19" s="18" t="n">
        <f aca="false">(Q19+D19+E19+H19)/L19</f>
        <v>2.00508072473809</v>
      </c>
    </row>
    <row r="20" customFormat="false" ht="15" hidden="false" customHeight="true" outlineLevel="0" collapsed="false">
      <c r="A20" s="5" t="s">
        <v>359</v>
      </c>
      <c r="B20" s="34" t="n">
        <v>1999.5</v>
      </c>
      <c r="C20" s="13" t="n">
        <v>3667.6</v>
      </c>
      <c r="D20" s="13" t="n">
        <v>6531.3</v>
      </c>
      <c r="E20" s="13" t="n">
        <v>6096.8</v>
      </c>
      <c r="F20" s="13" t="n">
        <v>4412.8</v>
      </c>
      <c r="G20" s="10" t="n">
        <f aca="false">E20-F20</f>
        <v>1684</v>
      </c>
      <c r="H20" s="13" t="n">
        <v>1192.2</v>
      </c>
      <c r="I20" s="10" t="n">
        <f aca="false">C20+D20+E20+H20</f>
        <v>17487.9</v>
      </c>
      <c r="J20" s="13" t="n">
        <v>18177.3</v>
      </c>
      <c r="K20" s="10" t="n">
        <f aca="false">J20-I20</f>
        <v>689.399999999998</v>
      </c>
      <c r="L20" s="13" t="n">
        <v>9686.6</v>
      </c>
      <c r="M20" s="18" t="n">
        <f aca="false">C20/L20</f>
        <v>0.378626143332026</v>
      </c>
      <c r="N20" s="18" t="n">
        <f aca="false">D20/L20</f>
        <v>0.674261350731939</v>
      </c>
      <c r="O20" s="18" t="n">
        <f aca="false">E20/L20</f>
        <v>0.629405570582041</v>
      </c>
      <c r="P20" s="18" t="n">
        <f aca="false">H20/L20</f>
        <v>0.1230772407243</v>
      </c>
      <c r="Q20" s="13" t="n">
        <v>5656.3</v>
      </c>
      <c r="R20" s="18" t="n">
        <f aca="false">Q20/L20</f>
        <v>0.583930378048025</v>
      </c>
      <c r="S20" s="18" t="n">
        <f aca="false">(Q20+D20+E20+H20)/L20</f>
        <v>2.01067454008631</v>
      </c>
    </row>
    <row r="21" customFormat="false" ht="15" hidden="false" customHeight="true" outlineLevel="0" collapsed="false">
      <c r="A21" s="5" t="s">
        <v>360</v>
      </c>
      <c r="B21" s="34" t="n">
        <v>1999.75</v>
      </c>
      <c r="C21" s="13" t="n">
        <v>3715.5</v>
      </c>
      <c r="D21" s="13" t="n">
        <v>6680.9</v>
      </c>
      <c r="E21" s="13" t="n">
        <v>6219.9</v>
      </c>
      <c r="F21" s="13" t="n">
        <v>4477.2</v>
      </c>
      <c r="G21" s="10" t="n">
        <f aca="false">E21-F21</f>
        <v>1742.7</v>
      </c>
      <c r="H21" s="13" t="n">
        <v>1195.1</v>
      </c>
      <c r="I21" s="10" t="n">
        <f aca="false">C21+D21+E21+H21</f>
        <v>17811.4</v>
      </c>
      <c r="J21" s="13" t="n">
        <v>18460.9</v>
      </c>
      <c r="K21" s="10" t="n">
        <f aca="false">J21-I21</f>
        <v>649.500000000004</v>
      </c>
      <c r="L21" s="13" t="n">
        <v>9900.2</v>
      </c>
      <c r="M21" s="18" t="n">
        <f aca="false">C21/L21</f>
        <v>0.375295448576796</v>
      </c>
      <c r="N21" s="18" t="n">
        <f aca="false">D21/L21</f>
        <v>0.674824751015131</v>
      </c>
      <c r="O21" s="18" t="n">
        <f aca="false">E21/L21</f>
        <v>0.628260035150805</v>
      </c>
      <c r="P21" s="18" t="n">
        <f aca="false">H21/L21</f>
        <v>0.120714733035696</v>
      </c>
      <c r="Q21" s="13" t="n">
        <v>5776.1</v>
      </c>
      <c r="R21" s="18" t="n">
        <f aca="false">Q21/L21</f>
        <v>0.583432657926103</v>
      </c>
      <c r="S21" s="18" t="n">
        <f aca="false">(Q21+D21+E21+H21)/L21</f>
        <v>2.00723217712774</v>
      </c>
    </row>
    <row r="22" customFormat="false" ht="15" hidden="false" customHeight="true" outlineLevel="0" collapsed="false">
      <c r="A22" s="5" t="s">
        <v>361</v>
      </c>
      <c r="B22" s="34" t="n">
        <v>2000</v>
      </c>
      <c r="C22" s="13" t="n">
        <v>3688</v>
      </c>
      <c r="D22" s="13" t="n">
        <v>6845.5</v>
      </c>
      <c r="E22" s="13" t="n">
        <v>6388.3</v>
      </c>
      <c r="F22" s="13" t="n">
        <v>4598.2</v>
      </c>
      <c r="G22" s="10" t="n">
        <f aca="false">E22-F22</f>
        <v>1790.1</v>
      </c>
      <c r="H22" s="13" t="n">
        <v>1200.2</v>
      </c>
      <c r="I22" s="10" t="n">
        <f aca="false">C22+D22+E22+H22</f>
        <v>18122</v>
      </c>
      <c r="J22" s="13" t="n">
        <v>18748.7</v>
      </c>
      <c r="K22" s="10" t="n">
        <f aca="false">J22-I22</f>
        <v>626.700000000001</v>
      </c>
      <c r="L22" s="13" t="n">
        <v>10002.2</v>
      </c>
      <c r="M22" s="18" t="n">
        <f aca="false">C22/L22</f>
        <v>0.368718881845994</v>
      </c>
      <c r="N22" s="18" t="n">
        <f aca="false">D22/L22</f>
        <v>0.684399432124933</v>
      </c>
      <c r="O22" s="18" t="n">
        <f aca="false">E22/L22</f>
        <v>0.638689488312571</v>
      </c>
      <c r="P22" s="18" t="n">
        <f aca="false">H22/L22</f>
        <v>0.11999360140769</v>
      </c>
      <c r="Q22" s="13" t="n">
        <v>5773.4</v>
      </c>
      <c r="R22" s="18" t="n">
        <f aca="false">Q22/L22</f>
        <v>0.57721301313711</v>
      </c>
      <c r="S22" s="18" t="n">
        <f aca="false">(Q22+D22+E22+H22)/L22</f>
        <v>2.0202955349823</v>
      </c>
    </row>
    <row r="23" customFormat="false" ht="15" hidden="false" customHeight="true" outlineLevel="0" collapsed="false">
      <c r="A23" s="5" t="s">
        <v>362</v>
      </c>
      <c r="B23" s="34" t="n">
        <v>2000.25</v>
      </c>
      <c r="C23" s="13" t="n">
        <v>3495.7</v>
      </c>
      <c r="D23" s="13" t="n">
        <v>6973.6</v>
      </c>
      <c r="E23" s="13" t="n">
        <v>6557.8</v>
      </c>
      <c r="F23" s="13" t="n">
        <v>4707.9</v>
      </c>
      <c r="G23" s="10" t="n">
        <f aca="false">E23-F23</f>
        <v>1849.9</v>
      </c>
      <c r="H23" s="13" t="n">
        <v>1193.5</v>
      </c>
      <c r="I23" s="10" t="n">
        <f aca="false">C23+D23+E23+H23</f>
        <v>18220.6</v>
      </c>
      <c r="J23" s="13" t="n">
        <v>18939.7</v>
      </c>
      <c r="K23" s="10" t="n">
        <f aca="false">J23-I23</f>
        <v>719.100000000002</v>
      </c>
      <c r="L23" s="13" t="n">
        <v>10247.7</v>
      </c>
      <c r="M23" s="18" t="n">
        <f aca="false">C23/L23</f>
        <v>0.341120446539223</v>
      </c>
      <c r="N23" s="18" t="n">
        <f aca="false">D23/L23</f>
        <v>0.680503917952321</v>
      </c>
      <c r="O23" s="18" t="n">
        <f aca="false">E23/L23</f>
        <v>0.639928959668999</v>
      </c>
      <c r="P23" s="18" t="n">
        <f aca="false">H23/L23</f>
        <v>0.116465158035462</v>
      </c>
      <c r="Q23" s="13" t="n">
        <v>5685.9</v>
      </c>
      <c r="R23" s="18" t="n">
        <f aca="false">Q23/L23</f>
        <v>0.554846453350508</v>
      </c>
      <c r="S23" s="18" t="n">
        <f aca="false">(Q23+D23+E23+H23)/L23</f>
        <v>1.99174448900729</v>
      </c>
    </row>
    <row r="24" customFormat="false" ht="15" hidden="false" customHeight="true" outlineLevel="0" collapsed="false">
      <c r="A24" s="5" t="s">
        <v>363</v>
      </c>
      <c r="B24" s="34" t="n">
        <v>2000.5</v>
      </c>
      <c r="C24" s="13" t="n">
        <v>3438.4</v>
      </c>
      <c r="D24" s="13" t="n">
        <v>7140.4</v>
      </c>
      <c r="E24" s="13" t="n">
        <v>6656.4</v>
      </c>
      <c r="F24" s="13" t="n">
        <v>4767.9</v>
      </c>
      <c r="G24" s="10" t="n">
        <f aca="false">E24-F24</f>
        <v>1888.5</v>
      </c>
      <c r="H24" s="13" t="n">
        <v>1205</v>
      </c>
      <c r="I24" s="10" t="n">
        <f aca="false">C24+D24+E24+H24</f>
        <v>18440.2</v>
      </c>
      <c r="J24" s="13" t="n">
        <v>19145.7</v>
      </c>
      <c r="K24" s="10" t="n">
        <f aca="false">J24-I24</f>
        <v>705.500000000004</v>
      </c>
      <c r="L24" s="13" t="n">
        <v>10318.2</v>
      </c>
      <c r="M24" s="18" t="n">
        <f aca="false">C24/L24</f>
        <v>0.333236417204551</v>
      </c>
      <c r="N24" s="18" t="n">
        <f aca="false">D24/L24</f>
        <v>0.692019925956078</v>
      </c>
      <c r="O24" s="18" t="n">
        <f aca="false">E24/L24</f>
        <v>0.645112519625516</v>
      </c>
      <c r="P24" s="18" t="n">
        <f aca="false">H24/L24</f>
        <v>0.116783935182493</v>
      </c>
      <c r="Q24" s="13" t="n">
        <v>5674.2</v>
      </c>
      <c r="R24" s="18" t="n">
        <f aca="false">Q24/L24</f>
        <v>0.549921497935687</v>
      </c>
      <c r="S24" s="18" t="n">
        <f aca="false">(Q24+D24+E24+H24)/L24</f>
        <v>2.00383787869977</v>
      </c>
    </row>
    <row r="25" customFormat="false" ht="15" hidden="false" customHeight="true" outlineLevel="0" collapsed="false">
      <c r="A25" s="5" t="s">
        <v>364</v>
      </c>
      <c r="B25" s="34" t="n">
        <v>2000.75</v>
      </c>
      <c r="C25" s="13" t="n">
        <v>3413.5</v>
      </c>
      <c r="D25" s="13" t="n">
        <v>7248.3</v>
      </c>
      <c r="E25" s="13" t="n">
        <v>6766.8</v>
      </c>
      <c r="F25" s="13" t="n">
        <v>4828.1</v>
      </c>
      <c r="G25" s="10" t="n">
        <f aca="false">E25-F25</f>
        <v>1938.7</v>
      </c>
      <c r="H25" s="13" t="n">
        <v>1212.9</v>
      </c>
      <c r="I25" s="10" t="n">
        <f aca="false">C25+D25+E25+H25</f>
        <v>18641.5</v>
      </c>
      <c r="J25" s="13" t="n">
        <v>19318</v>
      </c>
      <c r="K25" s="10" t="n">
        <f aca="false">J25-I25</f>
        <v>676.5</v>
      </c>
      <c r="L25" s="13" t="n">
        <v>10435.7</v>
      </c>
      <c r="M25" s="18" t="n">
        <f aca="false">C25/L25</f>
        <v>0.327098325938845</v>
      </c>
      <c r="N25" s="18" t="n">
        <f aca="false">D25/L25</f>
        <v>0.694567685924279</v>
      </c>
      <c r="O25" s="18" t="n">
        <f aca="false">E25/L25</f>
        <v>0.648427992372337</v>
      </c>
      <c r="P25" s="18" t="n">
        <f aca="false">H25/L25</f>
        <v>0.116226031794705</v>
      </c>
      <c r="Q25" s="13" t="n">
        <v>5662.2</v>
      </c>
      <c r="R25" s="18" t="n">
        <f aca="false">Q25/L25</f>
        <v>0.542579798192742</v>
      </c>
      <c r="S25" s="18" t="n">
        <f aca="false">(Q25+D25+E25+H25)/L25</f>
        <v>2.00180150828406</v>
      </c>
    </row>
    <row r="26" customFormat="false" ht="15" hidden="false" customHeight="true" outlineLevel="0" collapsed="false">
      <c r="A26" s="5" t="s">
        <v>365</v>
      </c>
      <c r="B26" s="34" t="n">
        <v>2001</v>
      </c>
      <c r="C26" s="13" t="n">
        <v>3434.4</v>
      </c>
      <c r="D26" s="13" t="n">
        <v>7370.4</v>
      </c>
      <c r="E26" s="13" t="n">
        <v>6811.9</v>
      </c>
      <c r="F26" s="13" t="n">
        <v>4833.1</v>
      </c>
      <c r="G26" s="10" t="n">
        <f aca="false">E26-F26</f>
        <v>1978.8</v>
      </c>
      <c r="H26" s="13" t="n">
        <v>1244.8</v>
      </c>
      <c r="I26" s="10" t="n">
        <f aca="false">C26+D26+E26+H26</f>
        <v>18861.5</v>
      </c>
      <c r="J26" s="13" t="n">
        <v>19550</v>
      </c>
      <c r="K26" s="10" t="n">
        <f aca="false">J26-I26</f>
        <v>688.500000000004</v>
      </c>
      <c r="L26" s="13" t="n">
        <v>10470.2</v>
      </c>
      <c r="M26" s="18" t="n">
        <f aca="false">C26/L26</f>
        <v>0.328016656797387</v>
      </c>
      <c r="N26" s="18" t="n">
        <f aca="false">D26/L26</f>
        <v>0.703940707913889</v>
      </c>
      <c r="O26" s="18" t="n">
        <f aca="false">E26/L26</f>
        <v>0.650598842428989</v>
      </c>
      <c r="P26" s="18" t="n">
        <f aca="false">H26/L26</f>
        <v>0.118889801531967</v>
      </c>
      <c r="Q26" s="13" t="n">
        <v>5773.7</v>
      </c>
      <c r="R26" s="18" t="n">
        <f aca="false">Q26/L26</f>
        <v>0.551441233214265</v>
      </c>
      <c r="S26" s="18" t="n">
        <f aca="false">(Q26+D26+E26+H26)/L26</f>
        <v>2.02487058508911</v>
      </c>
    </row>
    <row r="27" customFormat="false" ht="15" hidden="false" customHeight="true" outlineLevel="0" collapsed="false">
      <c r="A27" s="5" t="s">
        <v>366</v>
      </c>
      <c r="B27" s="34" t="n">
        <v>2001.25</v>
      </c>
      <c r="C27" s="13" t="n">
        <v>3274.2</v>
      </c>
      <c r="D27" s="13" t="n">
        <v>7552.5</v>
      </c>
      <c r="E27" s="13" t="n">
        <v>6938.8</v>
      </c>
      <c r="F27" s="13" t="n">
        <v>4917</v>
      </c>
      <c r="G27" s="10" t="n">
        <f aca="false">E27-F27</f>
        <v>2021.8</v>
      </c>
      <c r="H27" s="13" t="n">
        <v>1264.5</v>
      </c>
      <c r="I27" s="10" t="n">
        <f aca="false">C27+D27+E27+H27</f>
        <v>19030</v>
      </c>
      <c r="J27" s="13" t="n">
        <v>19786.1</v>
      </c>
      <c r="K27" s="10" t="n">
        <f aca="false">J27-I27</f>
        <v>756.099999999999</v>
      </c>
      <c r="L27" s="13" t="n">
        <v>10599</v>
      </c>
      <c r="M27" s="18" t="n">
        <f aca="false">C27/L27</f>
        <v>0.30891593546561</v>
      </c>
      <c r="N27" s="18" t="n">
        <f aca="false">D27/L27</f>
        <v>0.712567223322955</v>
      </c>
      <c r="O27" s="18" t="n">
        <f aca="false">E27/L27</f>
        <v>0.654665534484385</v>
      </c>
      <c r="P27" s="18" t="n">
        <f aca="false">H27/L27</f>
        <v>0.119303707896971</v>
      </c>
      <c r="Q27" s="13" t="n">
        <v>5726.8</v>
      </c>
      <c r="R27" s="18" t="n">
        <f aca="false">Q27/L27</f>
        <v>0.540315124068308</v>
      </c>
      <c r="S27" s="18" t="n">
        <f aca="false">(Q27+D27+E27+H27)/L27</f>
        <v>2.02685158977262</v>
      </c>
    </row>
    <row r="28" customFormat="false" ht="15" hidden="false" customHeight="true" outlineLevel="0" collapsed="false">
      <c r="A28" s="5" t="s">
        <v>367</v>
      </c>
      <c r="B28" s="34" t="n">
        <v>2001.5</v>
      </c>
      <c r="C28" s="13" t="n">
        <v>3338.7</v>
      </c>
      <c r="D28" s="13" t="n">
        <v>7794.1</v>
      </c>
      <c r="E28" s="13" t="n">
        <v>7010.4</v>
      </c>
      <c r="F28" s="13" t="n">
        <v>4951.1</v>
      </c>
      <c r="G28" s="10" t="n">
        <f aca="false">E28-F28</f>
        <v>2059.3</v>
      </c>
      <c r="H28" s="13" t="n">
        <v>1287.6</v>
      </c>
      <c r="I28" s="10" t="n">
        <f aca="false">C28+D28+E28+H28</f>
        <v>19430.8</v>
      </c>
      <c r="J28" s="13" t="n">
        <v>20189</v>
      </c>
      <c r="K28" s="10" t="n">
        <f aca="false">J28-I28</f>
        <v>758.200000000004</v>
      </c>
      <c r="L28" s="13" t="n">
        <v>10598</v>
      </c>
      <c r="M28" s="18" t="n">
        <f aca="false">C28/L28</f>
        <v>0.315031137950557</v>
      </c>
      <c r="N28" s="18" t="n">
        <f aca="false">D28/L28</f>
        <v>0.735431213436498</v>
      </c>
      <c r="O28" s="18" t="n">
        <f aca="false">E28/L28</f>
        <v>0.66148329873561</v>
      </c>
      <c r="P28" s="18" t="n">
        <f aca="false">H28/L28</f>
        <v>0.121494621626722</v>
      </c>
      <c r="Q28" s="13" t="n">
        <v>5807.5</v>
      </c>
      <c r="R28" s="18" t="n">
        <f aca="false">Q28/L28</f>
        <v>0.54798075108511</v>
      </c>
      <c r="S28" s="18" t="n">
        <f aca="false">(Q28+D28+E28+H28)/L28</f>
        <v>2.06638988488394</v>
      </c>
    </row>
    <row r="29" customFormat="false" ht="15" hidden="false" customHeight="true" outlineLevel="0" collapsed="false">
      <c r="A29" s="5" t="s">
        <v>368</v>
      </c>
      <c r="B29" s="34" t="n">
        <v>2001.75</v>
      </c>
      <c r="C29" s="13" t="n">
        <v>3393.8</v>
      </c>
      <c r="D29" s="13" t="n">
        <v>7892</v>
      </c>
      <c r="E29" s="13" t="n">
        <v>7071.8</v>
      </c>
      <c r="F29" s="13" t="n">
        <v>4969.4</v>
      </c>
      <c r="G29" s="10" t="n">
        <f aca="false">E29-F29</f>
        <v>2102.4</v>
      </c>
      <c r="H29" s="13" t="n">
        <v>1320</v>
      </c>
      <c r="I29" s="10" t="n">
        <f aca="false">C29+D29+E29+H29</f>
        <v>19677.6</v>
      </c>
      <c r="J29" s="13" t="n">
        <v>20429</v>
      </c>
      <c r="K29" s="10" t="n">
        <f aca="false">J29-I29</f>
        <v>751.400000000002</v>
      </c>
      <c r="L29" s="13" t="n">
        <v>10660.5</v>
      </c>
      <c r="M29" s="18" t="n">
        <f aca="false">C29/L29</f>
        <v>0.318352797711177</v>
      </c>
      <c r="N29" s="18" t="n">
        <f aca="false">D29/L29</f>
        <v>0.740302987664744</v>
      </c>
      <c r="O29" s="18" t="n">
        <f aca="false">E29/L29</f>
        <v>0.663364757750575</v>
      </c>
      <c r="P29" s="18" t="n">
        <f aca="false">H29/L29</f>
        <v>0.123821584353454</v>
      </c>
      <c r="Q29" s="13" t="n">
        <v>5943.4</v>
      </c>
      <c r="R29" s="18" t="n">
        <f aca="false">Q29/L29</f>
        <v>0.557516063974485</v>
      </c>
      <c r="S29" s="18" t="n">
        <f aca="false">(Q29+D29+E29+H29)/L29</f>
        <v>2.08500539374326</v>
      </c>
    </row>
    <row r="30" customFormat="false" ht="15" hidden="false" customHeight="true" outlineLevel="0" collapsed="false">
      <c r="A30" s="5" t="s">
        <v>369</v>
      </c>
      <c r="B30" s="34" t="n">
        <v>2002</v>
      </c>
      <c r="C30" s="13" t="n">
        <v>3443.7</v>
      </c>
      <c r="D30" s="13" t="n">
        <v>8083.9</v>
      </c>
      <c r="E30" s="13" t="n">
        <v>7127.2</v>
      </c>
      <c r="F30" s="13" t="n">
        <v>4984.8</v>
      </c>
      <c r="G30" s="10" t="n">
        <f aca="false">E30-F30</f>
        <v>2142.4</v>
      </c>
      <c r="H30" s="13" t="n">
        <v>1345.2</v>
      </c>
      <c r="I30" s="10" t="n">
        <f aca="false">C30+D30+E30+H30</f>
        <v>20000</v>
      </c>
      <c r="J30" s="13" t="n">
        <v>20712.8</v>
      </c>
      <c r="K30" s="10" t="n">
        <f aca="false">J30-I30</f>
        <v>712.799999999999</v>
      </c>
      <c r="L30" s="13" t="n">
        <v>10783.5</v>
      </c>
      <c r="M30" s="18" t="n">
        <f aca="false">C30/L30</f>
        <v>0.319349005424955</v>
      </c>
      <c r="N30" s="18" t="n">
        <f aca="false">D30/L30</f>
        <v>0.749654564844438</v>
      </c>
      <c r="O30" s="18" t="n">
        <f aca="false">E30/L30</f>
        <v>0.66093568878379</v>
      </c>
      <c r="P30" s="18" t="n">
        <f aca="false">H30/L30</f>
        <v>0.124746139936013</v>
      </c>
      <c r="Q30" s="13" t="n">
        <v>6006</v>
      </c>
      <c r="R30" s="18" t="n">
        <f aca="false">Q30/L30</f>
        <v>0.556962025316456</v>
      </c>
      <c r="S30" s="18" t="n">
        <f aca="false">(Q30+D30+E30+H30)/L30</f>
        <v>2.0922984188807</v>
      </c>
    </row>
    <row r="31" customFormat="false" ht="15" hidden="false" customHeight="true" outlineLevel="0" collapsed="false">
      <c r="A31" s="5" t="s">
        <v>370</v>
      </c>
      <c r="B31" s="34" t="n">
        <v>2002.25</v>
      </c>
      <c r="C31" s="13" t="n">
        <v>3463.5</v>
      </c>
      <c r="D31" s="13" t="n">
        <v>8233.8</v>
      </c>
      <c r="E31" s="13" t="n">
        <v>7164.8</v>
      </c>
      <c r="F31" s="13" t="n">
        <v>4982.7</v>
      </c>
      <c r="G31" s="10" t="n">
        <f aca="false">E31-F31</f>
        <v>2182.1</v>
      </c>
      <c r="H31" s="13" t="n">
        <v>1380</v>
      </c>
      <c r="I31" s="10" t="n">
        <f aca="false">C31+D31+E31+H31</f>
        <v>20242.1</v>
      </c>
      <c r="J31" s="13" t="n">
        <v>21039</v>
      </c>
      <c r="K31" s="10" t="n">
        <f aca="false">J31-I31</f>
        <v>796.900000000002</v>
      </c>
      <c r="L31" s="13" t="n">
        <v>10887.5</v>
      </c>
      <c r="M31" s="18" t="n">
        <f aca="false">C31/L31</f>
        <v>0.318117106773823</v>
      </c>
      <c r="N31" s="18" t="n">
        <f aca="false">D31/L31</f>
        <v>0.756261768082664</v>
      </c>
      <c r="O31" s="18" t="n">
        <f aca="false">E31/L31</f>
        <v>0.658075774971297</v>
      </c>
      <c r="P31" s="18" t="n">
        <f aca="false">H31/L31</f>
        <v>0.126750861079219</v>
      </c>
      <c r="Q31" s="13" t="n">
        <v>6126.5</v>
      </c>
      <c r="R31" s="18" t="n">
        <f aca="false">Q31/L31</f>
        <v>0.562709529276694</v>
      </c>
      <c r="S31" s="18" t="n">
        <f aca="false">(Q31+D31+E31+H31)/L31</f>
        <v>2.10379793340987</v>
      </c>
    </row>
    <row r="32" customFormat="false" ht="15" hidden="false" customHeight="true" outlineLevel="0" collapsed="false">
      <c r="A32" s="5" t="s">
        <v>371</v>
      </c>
      <c r="B32" s="34" t="n">
        <v>2002.5</v>
      </c>
      <c r="C32" s="13" t="n">
        <v>3552.6</v>
      </c>
      <c r="D32" s="13" t="n">
        <v>8435.8</v>
      </c>
      <c r="E32" s="13" t="n">
        <v>7199</v>
      </c>
      <c r="F32" s="13" t="n">
        <v>4978.4</v>
      </c>
      <c r="G32" s="10" t="n">
        <f aca="false">E32-F32</f>
        <v>2220.6</v>
      </c>
      <c r="H32" s="13" t="n">
        <v>1417.6</v>
      </c>
      <c r="I32" s="10" t="n">
        <f aca="false">C32+D32+E32+H32</f>
        <v>20605</v>
      </c>
      <c r="J32" s="13" t="n">
        <v>21410.1</v>
      </c>
      <c r="K32" s="10" t="n">
        <f aca="false">J32-I32</f>
        <v>805.099999999999</v>
      </c>
      <c r="L32" s="13" t="n">
        <v>10984</v>
      </c>
      <c r="M32" s="18" t="n">
        <f aca="false">C32/L32</f>
        <v>0.32343408594319</v>
      </c>
      <c r="N32" s="18" t="n">
        <f aca="false">D32/L32</f>
        <v>0.768008011653314</v>
      </c>
      <c r="O32" s="18" t="n">
        <f aca="false">E32/L32</f>
        <v>0.65540786598689</v>
      </c>
      <c r="P32" s="18" t="n">
        <f aca="false">H32/L32</f>
        <v>0.129060451565914</v>
      </c>
      <c r="Q32" s="13" t="n">
        <v>6228.2</v>
      </c>
      <c r="R32" s="18" t="n">
        <f aca="false">Q32/L32</f>
        <v>0.567024763292061</v>
      </c>
      <c r="S32" s="18" t="n">
        <f aca="false">(Q32+D32+E32+H32)/L32</f>
        <v>2.11950109249818</v>
      </c>
    </row>
    <row r="33" customFormat="false" ht="15" hidden="false" customHeight="true" outlineLevel="0" collapsed="false">
      <c r="A33" s="5" t="s">
        <v>372</v>
      </c>
      <c r="B33" s="34" t="n">
        <v>2002.75</v>
      </c>
      <c r="C33" s="13" t="n">
        <v>3647.4</v>
      </c>
      <c r="D33" s="13" t="n">
        <v>8668.4</v>
      </c>
      <c r="E33" s="13" t="n">
        <v>7246.4</v>
      </c>
      <c r="F33" s="13" t="n">
        <v>4986.6</v>
      </c>
      <c r="G33" s="10" t="n">
        <f aca="false">E33-F33</f>
        <v>2259.8</v>
      </c>
      <c r="H33" s="13" t="n">
        <v>1463.1</v>
      </c>
      <c r="I33" s="10" t="n">
        <f aca="false">C33+D33+E33+H33</f>
        <v>21025.3</v>
      </c>
      <c r="J33" s="13" t="n">
        <v>21805.2</v>
      </c>
      <c r="K33" s="10" t="n">
        <f aca="false">J33-I33</f>
        <v>779.900000000005</v>
      </c>
      <c r="L33" s="13" t="n">
        <v>11061.4</v>
      </c>
      <c r="M33" s="18" t="n">
        <f aca="false">C33/L33</f>
        <v>0.329741262408014</v>
      </c>
      <c r="N33" s="18" t="n">
        <f aca="false">D33/L33</f>
        <v>0.783662104254434</v>
      </c>
      <c r="O33" s="18" t="n">
        <f aca="false">E33/L33</f>
        <v>0.655106948487533</v>
      </c>
      <c r="P33" s="18" t="n">
        <f aca="false">H33/L33</f>
        <v>0.132270779467337</v>
      </c>
      <c r="Q33" s="13" t="n">
        <v>6405.7</v>
      </c>
      <c r="R33" s="18" t="n">
        <f aca="false">Q33/L33</f>
        <v>0.579103910897355</v>
      </c>
      <c r="S33" s="18" t="n">
        <f aca="false">(Q33+D33+E33+H33)/L33</f>
        <v>2.15014374310666</v>
      </c>
    </row>
    <row r="34" customFormat="false" ht="15" hidden="false" customHeight="true" outlineLevel="0" collapsed="false">
      <c r="A34" s="5" t="s">
        <v>373</v>
      </c>
      <c r="B34" s="34" t="n">
        <v>2003</v>
      </c>
      <c r="C34" s="13" t="n">
        <v>3710.8</v>
      </c>
      <c r="D34" s="13" t="n">
        <v>8893.6</v>
      </c>
      <c r="E34" s="13" t="n">
        <v>7263.4</v>
      </c>
      <c r="F34" s="13" t="n">
        <v>4982.7</v>
      </c>
      <c r="G34" s="10" t="n">
        <f aca="false">E34-F34</f>
        <v>2280.7</v>
      </c>
      <c r="H34" s="13" t="n">
        <v>1490.5</v>
      </c>
      <c r="I34" s="10" t="n">
        <f aca="false">C34+D34+E34+H34</f>
        <v>21358.3</v>
      </c>
      <c r="J34" s="13" t="n">
        <v>22120.6</v>
      </c>
      <c r="K34" s="10" t="n">
        <f aca="false">J34-I34</f>
        <v>762.299999999996</v>
      </c>
      <c r="L34" s="13" t="n">
        <v>11174.1</v>
      </c>
      <c r="M34" s="18" t="n">
        <f aca="false">C34/L34</f>
        <v>0.332089385274877</v>
      </c>
      <c r="N34" s="18" t="n">
        <f aca="false">D34/L34</f>
        <v>0.795911975013648</v>
      </c>
      <c r="O34" s="18" t="n">
        <f aca="false">E34/L34</f>
        <v>0.650021030776528</v>
      </c>
      <c r="P34" s="18" t="n">
        <f aca="false">H34/L34</f>
        <v>0.1333888187863</v>
      </c>
      <c r="Q34" s="13" t="n">
        <v>6460.8</v>
      </c>
      <c r="R34" s="18" t="n">
        <f aca="false">Q34/L34</f>
        <v>0.578194216983918</v>
      </c>
      <c r="S34" s="18" t="n">
        <f aca="false">(Q34+D34+E34+H34)/L34</f>
        <v>2.15751604156039</v>
      </c>
    </row>
    <row r="35" customFormat="false" ht="15" hidden="false" customHeight="true" outlineLevel="0" collapsed="false">
      <c r="A35" s="5" t="s">
        <v>374</v>
      </c>
      <c r="B35" s="34" t="n">
        <v>2003.25</v>
      </c>
      <c r="C35" s="13" t="n">
        <v>3816.3</v>
      </c>
      <c r="D35" s="13" t="n">
        <v>9251.9</v>
      </c>
      <c r="E35" s="13" t="n">
        <v>7283.6</v>
      </c>
      <c r="F35" s="13" t="n">
        <v>4986.4</v>
      </c>
      <c r="G35" s="10" t="n">
        <f aca="false">E35-F35</f>
        <v>2297.2</v>
      </c>
      <c r="H35" s="13" t="n">
        <v>1535.1</v>
      </c>
      <c r="I35" s="10" t="n">
        <f aca="false">C35+D35+E35+H35</f>
        <v>21886.9</v>
      </c>
      <c r="J35" s="13" t="n">
        <v>22709.3</v>
      </c>
      <c r="K35" s="10" t="n">
        <f aca="false">J35-I35</f>
        <v>822.399999999998</v>
      </c>
      <c r="L35" s="13" t="n">
        <v>11312.8</v>
      </c>
      <c r="M35" s="18" t="n">
        <f aca="false">C35/L35</f>
        <v>0.337343540060816</v>
      </c>
      <c r="N35" s="18" t="n">
        <f aca="false">D35/L35</f>
        <v>0.817825825613464</v>
      </c>
      <c r="O35" s="18" t="n">
        <f aca="false">E35/L35</f>
        <v>0.643837069514179</v>
      </c>
      <c r="P35" s="18" t="n">
        <f aca="false">H35/L35</f>
        <v>0.135695848949862</v>
      </c>
      <c r="Q35" s="13" t="n">
        <v>6670.1</v>
      </c>
      <c r="R35" s="18" t="n">
        <f aca="false">Q35/L35</f>
        <v>0.589606463475002</v>
      </c>
      <c r="S35" s="18" t="n">
        <f aca="false">(Q35+D35+E35+H35)/L35</f>
        <v>2.18696520755251</v>
      </c>
    </row>
    <row r="36" customFormat="false" ht="15" hidden="false" customHeight="true" outlineLevel="0" collapsed="false">
      <c r="A36" s="5" t="s">
        <v>375</v>
      </c>
      <c r="B36" s="34" t="n">
        <v>2003.5</v>
      </c>
      <c r="C36" s="13" t="n">
        <v>3924</v>
      </c>
      <c r="D36" s="13" t="n">
        <v>9489</v>
      </c>
      <c r="E36" s="13" t="n">
        <v>7341.5</v>
      </c>
      <c r="F36" s="13" t="n">
        <v>5027.1</v>
      </c>
      <c r="G36" s="10" t="n">
        <f aca="false">E36-F36</f>
        <v>2314.4</v>
      </c>
      <c r="H36" s="13" t="n">
        <v>1559.9</v>
      </c>
      <c r="I36" s="10" t="n">
        <f aca="false">C36+D36+E36+H36</f>
        <v>22314.4</v>
      </c>
      <c r="J36" s="13" t="n">
        <v>23143</v>
      </c>
      <c r="K36" s="10" t="n">
        <f aca="false">J36-I36</f>
        <v>828.599999999999</v>
      </c>
      <c r="L36" s="13" t="n">
        <v>11566.7</v>
      </c>
      <c r="M36" s="18" t="n">
        <f aca="false">C36/L36</f>
        <v>0.33924974279613</v>
      </c>
      <c r="N36" s="18" t="n">
        <f aca="false">D36/L36</f>
        <v>0.82037227558422</v>
      </c>
      <c r="O36" s="18" t="n">
        <f aca="false">E36/L36</f>
        <v>0.634709986426552</v>
      </c>
      <c r="P36" s="18" t="n">
        <f aca="false">H36/L36</f>
        <v>0.134861282820511</v>
      </c>
      <c r="Q36" s="13" t="n">
        <v>6783.3</v>
      </c>
      <c r="R36" s="18" t="n">
        <f aca="false">Q36/L36</f>
        <v>0.586450759507898</v>
      </c>
      <c r="S36" s="18" t="n">
        <f aca="false">(Q36+D36+E36+H36)/L36</f>
        <v>2.17639430433918</v>
      </c>
    </row>
    <row r="37" customFormat="false" ht="15" hidden="false" customHeight="true" outlineLevel="0" collapsed="false">
      <c r="A37" s="5" t="s">
        <v>376</v>
      </c>
      <c r="B37" s="34" t="n">
        <v>2003.75</v>
      </c>
      <c r="C37" s="13" t="n">
        <v>4044.1</v>
      </c>
      <c r="D37" s="13" t="n">
        <v>9749.5</v>
      </c>
      <c r="E37" s="13" t="n">
        <v>7356.7</v>
      </c>
      <c r="F37" s="13" t="n">
        <v>5022.1</v>
      </c>
      <c r="G37" s="10" t="n">
        <f aca="false">E37-F37</f>
        <v>2334.6</v>
      </c>
      <c r="H37" s="13" t="n">
        <v>1586.3</v>
      </c>
      <c r="I37" s="10" t="n">
        <f aca="false">C37+D37+E37+H37</f>
        <v>22736.6</v>
      </c>
      <c r="J37" s="13" t="n">
        <v>23540.4</v>
      </c>
      <c r="K37" s="10" t="n">
        <f aca="false">J37-I37</f>
        <v>803.800000000003</v>
      </c>
      <c r="L37" s="13" t="n">
        <v>11772.2</v>
      </c>
      <c r="M37" s="18" t="n">
        <f aca="false">C37/L37</f>
        <v>0.343529671599191</v>
      </c>
      <c r="N37" s="18" t="n">
        <f aca="false">D37/L37</f>
        <v>0.82817994937225</v>
      </c>
      <c r="O37" s="18" t="n">
        <f aca="false">E37/L37</f>
        <v>0.624921425052242</v>
      </c>
      <c r="P37" s="18" t="n">
        <f aca="false">H37/L37</f>
        <v>0.134749664463737</v>
      </c>
      <c r="Q37" s="13" t="n">
        <v>6998</v>
      </c>
      <c r="R37" s="18" t="n">
        <f aca="false">Q37/L37</f>
        <v>0.594451334499924</v>
      </c>
      <c r="S37" s="18" t="n">
        <f aca="false">(Q37+D37+E37+H37)/L37</f>
        <v>2.18230237338815</v>
      </c>
    </row>
    <row r="38" customFormat="false" ht="15" hidden="false" customHeight="true" outlineLevel="0" collapsed="false">
      <c r="A38" s="5" t="s">
        <v>377</v>
      </c>
      <c r="B38" s="34" t="n">
        <v>2004</v>
      </c>
      <c r="C38" s="13" t="n">
        <v>4176.7</v>
      </c>
      <c r="D38" s="13" t="n">
        <v>9987.1</v>
      </c>
      <c r="E38" s="13" t="n">
        <v>7501.3</v>
      </c>
      <c r="F38" s="13" t="n">
        <v>5096.9</v>
      </c>
      <c r="G38" s="10" t="n">
        <f aca="false">E38-F38</f>
        <v>2404.4</v>
      </c>
      <c r="H38" s="13" t="n">
        <v>2362.3</v>
      </c>
      <c r="I38" s="10" t="n">
        <f aca="false">C38+D38+E38+H38</f>
        <v>24027.4</v>
      </c>
      <c r="J38" s="13" t="n">
        <v>24762.7</v>
      </c>
      <c r="K38" s="10" t="n">
        <f aca="false">J38-I38</f>
        <v>735.300000000003</v>
      </c>
      <c r="L38" s="13" t="n">
        <v>11923.4</v>
      </c>
      <c r="M38" s="18" t="n">
        <f aca="false">C38/L38</f>
        <v>0.35029437912005</v>
      </c>
      <c r="N38" s="18" t="n">
        <f aca="false">D38/L38</f>
        <v>0.837605045540702</v>
      </c>
      <c r="O38" s="18" t="n">
        <f aca="false">E38/L38</f>
        <v>0.629124243085026</v>
      </c>
      <c r="P38" s="18" t="n">
        <f aca="false">H38/L38</f>
        <v>0.198123018602077</v>
      </c>
      <c r="Q38" s="13" t="n">
        <v>7131.1</v>
      </c>
      <c r="R38" s="18" t="n">
        <f aca="false">Q38/L38</f>
        <v>0.598076052132781</v>
      </c>
      <c r="S38" s="18" t="n">
        <f aca="false">(Q38+D38+E38+H38)/L38</f>
        <v>2.26292835936059</v>
      </c>
    </row>
    <row r="39" customFormat="false" ht="15" hidden="false" customHeight="true" outlineLevel="0" collapsed="false">
      <c r="A39" s="5" t="s">
        <v>378</v>
      </c>
      <c r="B39" s="34" t="n">
        <v>2004.25</v>
      </c>
      <c r="C39" s="13" t="n">
        <v>4218.7</v>
      </c>
      <c r="D39" s="13" t="n">
        <v>10281.4</v>
      </c>
      <c r="E39" s="13" t="n">
        <v>7574.6</v>
      </c>
      <c r="F39" s="13" t="n">
        <v>5110.6</v>
      </c>
      <c r="G39" s="10" t="n">
        <f aca="false">E39-F39</f>
        <v>2464</v>
      </c>
      <c r="H39" s="13" t="n">
        <v>2419.7</v>
      </c>
      <c r="I39" s="10" t="n">
        <f aca="false">C39+D39+E39+H39</f>
        <v>24494.4</v>
      </c>
      <c r="J39" s="13" t="n">
        <v>25357.1</v>
      </c>
      <c r="K39" s="10" t="n">
        <f aca="false">J39-I39</f>
        <v>862.700000000001</v>
      </c>
      <c r="L39" s="13" t="n">
        <v>12112.8</v>
      </c>
      <c r="M39" s="18" t="n">
        <f aca="false">C39/L39</f>
        <v>0.348284459414834</v>
      </c>
      <c r="N39" s="18" t="n">
        <f aca="false">D39/L39</f>
        <v>0.848804570371838</v>
      </c>
      <c r="O39" s="18" t="n">
        <f aca="false">E39/L39</f>
        <v>0.625338484908527</v>
      </c>
      <c r="P39" s="18" t="n">
        <f aca="false">H39/L39</f>
        <v>0.199763886136979</v>
      </c>
      <c r="Q39" s="13" t="n">
        <v>7274.3</v>
      </c>
      <c r="R39" s="18" t="n">
        <f aca="false">Q39/L39</f>
        <v>0.600546529291328</v>
      </c>
      <c r="S39" s="18" t="n">
        <f aca="false">(Q39+D39+E39+H39)/L39</f>
        <v>2.27445347070867</v>
      </c>
    </row>
    <row r="40" customFormat="false" ht="15" hidden="false" customHeight="true" outlineLevel="0" collapsed="false">
      <c r="A40" s="5" t="s">
        <v>379</v>
      </c>
      <c r="B40" s="34" t="n">
        <v>2004.5</v>
      </c>
      <c r="C40" s="13" t="n">
        <v>4303.4</v>
      </c>
      <c r="D40" s="13" t="n">
        <v>10534.1</v>
      </c>
      <c r="E40" s="13" t="n">
        <v>7701.7</v>
      </c>
      <c r="F40" s="13" t="n">
        <v>5175.9</v>
      </c>
      <c r="G40" s="10" t="n">
        <f aca="false">E40-F40</f>
        <v>2525.8</v>
      </c>
      <c r="H40" s="13" t="n">
        <v>2469.8</v>
      </c>
      <c r="I40" s="10" t="n">
        <f aca="false">C40+D40+E40+H40</f>
        <v>25009</v>
      </c>
      <c r="J40" s="13" t="n">
        <v>25879.1</v>
      </c>
      <c r="K40" s="10" t="n">
        <f aca="false">J40-I40</f>
        <v>870.099999999999</v>
      </c>
      <c r="L40" s="13" t="n">
        <v>12305.3</v>
      </c>
      <c r="M40" s="18" t="n">
        <f aca="false">C40/L40</f>
        <v>0.349719226674685</v>
      </c>
      <c r="N40" s="18" t="n">
        <f aca="false">D40/L40</f>
        <v>0.856062022055537</v>
      </c>
      <c r="O40" s="18" t="n">
        <f aca="false">E40/L40</f>
        <v>0.625884781354376</v>
      </c>
      <c r="P40" s="18" t="n">
        <f aca="false">H40/L40</f>
        <v>0.200710263057382</v>
      </c>
      <c r="Q40" s="13" t="n">
        <v>7379.1</v>
      </c>
      <c r="R40" s="18" t="n">
        <f aca="false">Q40/L40</f>
        <v>0.599668435552161</v>
      </c>
      <c r="S40" s="18" t="n">
        <f aca="false">(Q40+D40+E40+H40)/L40</f>
        <v>2.28232550201946</v>
      </c>
    </row>
    <row r="41" customFormat="false" ht="15" hidden="false" customHeight="true" outlineLevel="0" collapsed="false">
      <c r="A41" s="5" t="s">
        <v>380</v>
      </c>
      <c r="B41" s="34" t="n">
        <v>2004.75</v>
      </c>
      <c r="C41" s="13" t="n">
        <v>4406.4</v>
      </c>
      <c r="D41" s="13" t="n">
        <v>10880.7</v>
      </c>
      <c r="E41" s="13" t="n">
        <v>7841.7</v>
      </c>
      <c r="F41" s="13" t="n">
        <v>5253.2</v>
      </c>
      <c r="G41" s="10" t="n">
        <f aca="false">E41-F41</f>
        <v>2588.5</v>
      </c>
      <c r="H41" s="13" t="n">
        <v>2505.8</v>
      </c>
      <c r="I41" s="10" t="n">
        <f aca="false">C41+D41+E41+H41</f>
        <v>25634.6</v>
      </c>
      <c r="J41" s="13" t="n">
        <v>26479.2</v>
      </c>
      <c r="K41" s="10" t="n">
        <f aca="false">J41-I41</f>
        <v>844.600000000002</v>
      </c>
      <c r="L41" s="13" t="n">
        <v>12527.2</v>
      </c>
      <c r="M41" s="18" t="n">
        <f aca="false">C41/L41</f>
        <v>0.351746599399706</v>
      </c>
      <c r="N41" s="18" t="n">
        <f aca="false">D41/L41</f>
        <v>0.868566000383166</v>
      </c>
      <c r="O41" s="18" t="n">
        <f aca="false">E41/L41</f>
        <v>0.625973880835302</v>
      </c>
      <c r="P41" s="18" t="n">
        <f aca="false">H41/L41</f>
        <v>0.200028737467271</v>
      </c>
      <c r="Q41" s="13" t="n">
        <v>7596.1</v>
      </c>
      <c r="R41" s="18" t="n">
        <f aca="false">Q41/L41</f>
        <v>0.606368542052494</v>
      </c>
      <c r="S41" s="18" t="n">
        <f aca="false">(Q41+D41+E41+H41)/L41</f>
        <v>2.30093716073823</v>
      </c>
    </row>
    <row r="42" customFormat="false" ht="15" hidden="false" customHeight="true" outlineLevel="0" collapsed="false">
      <c r="A42" s="5" t="s">
        <v>381</v>
      </c>
      <c r="B42" s="34" t="n">
        <v>2005</v>
      </c>
      <c r="C42" s="13" t="n">
        <v>4572.4</v>
      </c>
      <c r="D42" s="13" t="n">
        <v>11119.3</v>
      </c>
      <c r="E42" s="13" t="n">
        <v>7989.1</v>
      </c>
      <c r="F42" s="13" t="n">
        <v>5321.9</v>
      </c>
      <c r="G42" s="10" t="n">
        <f aca="false">E42-F42</f>
        <v>2667.2</v>
      </c>
      <c r="H42" s="13" t="n">
        <v>2557.3</v>
      </c>
      <c r="I42" s="10" t="n">
        <f aca="false">C42+D42+E42+H42</f>
        <v>26238.1</v>
      </c>
      <c r="J42" s="13" t="n">
        <v>27018.7</v>
      </c>
      <c r="K42" s="10" t="n">
        <f aca="false">J42-I42</f>
        <v>780.600000000002</v>
      </c>
      <c r="L42" s="13" t="n">
        <v>12767.3</v>
      </c>
      <c r="M42" s="18" t="n">
        <f aca="false">C42/L42</f>
        <v>0.358133669609079</v>
      </c>
      <c r="N42" s="18" t="n">
        <f aca="false">D42/L42</f>
        <v>0.870920241554597</v>
      </c>
      <c r="O42" s="18" t="n">
        <f aca="false">E42/L42</f>
        <v>0.625747025604474</v>
      </c>
      <c r="P42" s="18" t="n">
        <f aca="false">H42/L42</f>
        <v>0.200300768369193</v>
      </c>
      <c r="Q42" s="13" t="n">
        <v>7776.9</v>
      </c>
      <c r="R42" s="18" t="n">
        <f aca="false">Q42/L42</f>
        <v>0.609126440202705</v>
      </c>
      <c r="S42" s="18" t="n">
        <f aca="false">(Q42+D42+E42+H42)/L42</f>
        <v>2.30609447573097</v>
      </c>
    </row>
    <row r="43" customFormat="false" ht="15" hidden="false" customHeight="true" outlineLevel="0" collapsed="false">
      <c r="A43" s="5" t="s">
        <v>382</v>
      </c>
      <c r="B43" s="34" t="n">
        <v>2005.25</v>
      </c>
      <c r="C43" s="13" t="n">
        <v>4527.6</v>
      </c>
      <c r="D43" s="13" t="n">
        <v>11439.8</v>
      </c>
      <c r="E43" s="13" t="n">
        <v>8147.3</v>
      </c>
      <c r="F43" s="13" t="n">
        <v>5395.4</v>
      </c>
      <c r="G43" s="10" t="n">
        <f aca="false">E43-F43</f>
        <v>2751.9</v>
      </c>
      <c r="H43" s="13" t="n">
        <v>2601.9</v>
      </c>
      <c r="I43" s="10" t="n">
        <f aca="false">C43+D43+E43+H43</f>
        <v>26716.6</v>
      </c>
      <c r="J43" s="13" t="n">
        <v>27635.9</v>
      </c>
      <c r="K43" s="10" t="n">
        <f aca="false">J43-I43</f>
        <v>919.299999999999</v>
      </c>
      <c r="L43" s="13" t="n">
        <v>12922.7</v>
      </c>
      <c r="M43" s="18" t="n">
        <f aca="false">C43/L43</f>
        <v>0.350360218839716</v>
      </c>
      <c r="N43" s="18" t="n">
        <f aca="false">D43/L43</f>
        <v>0.885248438793751</v>
      </c>
      <c r="O43" s="18" t="n">
        <f aca="false">E43/L43</f>
        <v>0.630464221873138</v>
      </c>
      <c r="P43" s="18" t="n">
        <f aca="false">H43/L43</f>
        <v>0.201343372515032</v>
      </c>
      <c r="Q43" s="13" t="n">
        <v>7836.5</v>
      </c>
      <c r="R43" s="18" t="n">
        <f aca="false">Q43/L43</f>
        <v>0.606413520394345</v>
      </c>
      <c r="S43" s="18" t="n">
        <f aca="false">(Q43+D43+E43+H43)/L43</f>
        <v>2.32346955357627</v>
      </c>
    </row>
    <row r="44" customFormat="false" ht="15" hidden="false" customHeight="true" outlineLevel="0" collapsed="false">
      <c r="A44" s="5" t="s">
        <v>383</v>
      </c>
      <c r="B44" s="34" t="n">
        <v>2005.5</v>
      </c>
      <c r="C44" s="13" t="n">
        <v>4601.4</v>
      </c>
      <c r="D44" s="13" t="n">
        <v>11756.8</v>
      </c>
      <c r="E44" s="13" t="n">
        <v>8273.2</v>
      </c>
      <c r="F44" s="13" t="n">
        <v>5434.6</v>
      </c>
      <c r="G44" s="10" t="n">
        <f aca="false">E44-F44</f>
        <v>2838.6</v>
      </c>
      <c r="H44" s="13" t="n">
        <v>2645.8</v>
      </c>
      <c r="I44" s="10" t="n">
        <f aca="false">C44+D44+E44+H44</f>
        <v>27277.2</v>
      </c>
      <c r="J44" s="13" t="n">
        <v>28177.8</v>
      </c>
      <c r="K44" s="10" t="n">
        <f aca="false">J44-I44</f>
        <v>900.599999999999</v>
      </c>
      <c r="L44" s="13" t="n">
        <v>13142.6</v>
      </c>
      <c r="M44" s="18" t="n">
        <f aca="false">C44/L44</f>
        <v>0.350113371783361</v>
      </c>
      <c r="N44" s="18" t="n">
        <f aca="false">D44/L44</f>
        <v>0.894556632629769</v>
      </c>
      <c r="O44" s="18" t="n">
        <f aca="false">E44/L44</f>
        <v>0.629494924900705</v>
      </c>
      <c r="P44" s="18" t="n">
        <f aca="false">H44/L44</f>
        <v>0.201314808333207</v>
      </c>
      <c r="Q44" s="13" t="n">
        <v>7932.7</v>
      </c>
      <c r="R44" s="18" t="n">
        <f aca="false">Q44/L44</f>
        <v>0.603586809307139</v>
      </c>
      <c r="S44" s="18" t="n">
        <f aca="false">(Q44+D44+E44+H44)/L44</f>
        <v>2.32895317517082</v>
      </c>
    </row>
    <row r="45" customFormat="false" ht="15" hidden="false" customHeight="true" outlineLevel="0" collapsed="false">
      <c r="A45" s="5" t="s">
        <v>384</v>
      </c>
      <c r="B45" s="34" t="n">
        <v>2005.75</v>
      </c>
      <c r="C45" s="13" t="n">
        <v>4714.6</v>
      </c>
      <c r="D45" s="13" t="n">
        <v>12053.7</v>
      </c>
      <c r="E45" s="13" t="n">
        <v>8462.6</v>
      </c>
      <c r="F45" s="13" t="n">
        <v>5535.6</v>
      </c>
      <c r="G45" s="10" t="n">
        <f aca="false">E45-F45</f>
        <v>2927</v>
      </c>
      <c r="H45" s="13" t="n">
        <v>2673.3</v>
      </c>
      <c r="I45" s="10" t="n">
        <f aca="false">C45+D45+E45+H45</f>
        <v>27904.2</v>
      </c>
      <c r="J45" s="13" t="n">
        <v>28774.3</v>
      </c>
      <c r="K45" s="10" t="n">
        <f aca="false">J45-I45</f>
        <v>870.099999999999</v>
      </c>
      <c r="L45" s="13" t="n">
        <v>13324.2</v>
      </c>
      <c r="M45" s="18" t="n">
        <f aca="false">C45/L45</f>
        <v>0.353837378604344</v>
      </c>
      <c r="N45" s="18" t="n">
        <f aca="false">D45/L45</f>
        <v>0.904647183320575</v>
      </c>
      <c r="O45" s="18" t="n">
        <f aca="false">E45/L45</f>
        <v>0.635130064093904</v>
      </c>
      <c r="P45" s="18" t="n">
        <f aca="false">H45/L45</f>
        <v>0.200634934930427</v>
      </c>
      <c r="Q45" s="13" t="n">
        <v>8170.4</v>
      </c>
      <c r="R45" s="18" t="n">
        <f aca="false">Q45/L45</f>
        <v>0.61320004202879</v>
      </c>
      <c r="S45" s="18" t="n">
        <f aca="false">(Q45+D45+E45+H45)/L45</f>
        <v>2.3536122243737</v>
      </c>
    </row>
    <row r="46" customFormat="false" ht="15" hidden="false" customHeight="true" outlineLevel="0" collapsed="false">
      <c r="A46" s="5" t="s">
        <v>385</v>
      </c>
      <c r="B46" s="34" t="n">
        <v>2006</v>
      </c>
      <c r="C46" s="13" t="n">
        <v>4872.8</v>
      </c>
      <c r="D46" s="13" t="n">
        <v>12451</v>
      </c>
      <c r="E46" s="13" t="n">
        <v>8683.8</v>
      </c>
      <c r="F46" s="13" t="n">
        <v>5653.6</v>
      </c>
      <c r="G46" s="10" t="n">
        <f aca="false">E46-F46</f>
        <v>3030.2</v>
      </c>
      <c r="H46" s="13" t="n">
        <v>2674.8</v>
      </c>
      <c r="I46" s="10" t="n">
        <f aca="false">C46+D46+E46+H46</f>
        <v>28682.4</v>
      </c>
      <c r="J46" s="13" t="n">
        <v>29500.4</v>
      </c>
      <c r="K46" s="10" t="n">
        <f aca="false">J46-I46</f>
        <v>818.000000000004</v>
      </c>
      <c r="L46" s="13" t="n">
        <v>13599.2</v>
      </c>
      <c r="M46" s="18" t="n">
        <f aca="false">C46/L46</f>
        <v>0.358315195011471</v>
      </c>
      <c r="N46" s="18" t="n">
        <f aca="false">D46/L46</f>
        <v>0.915568562856639</v>
      </c>
      <c r="O46" s="18" t="n">
        <f aca="false">E46/L46</f>
        <v>0.638552267780458</v>
      </c>
      <c r="P46" s="18" t="n">
        <f aca="false">H46/L46</f>
        <v>0.196688040472969</v>
      </c>
      <c r="Q46" s="13" t="n">
        <v>8371.2</v>
      </c>
      <c r="R46" s="18" t="n">
        <f aca="false">Q46/L46</f>
        <v>0.615565621507148</v>
      </c>
      <c r="S46" s="18" t="n">
        <f aca="false">(Q46+D46+E46+H46)/L46</f>
        <v>2.36637449261721</v>
      </c>
    </row>
    <row r="47" customFormat="false" ht="15" hidden="false" customHeight="true" outlineLevel="0" collapsed="false">
      <c r="A47" s="5" t="s">
        <v>386</v>
      </c>
      <c r="B47" s="34" t="n">
        <v>2006.25</v>
      </c>
      <c r="C47" s="13" t="n">
        <v>4797.4</v>
      </c>
      <c r="D47" s="13" t="n">
        <v>12806.8</v>
      </c>
      <c r="E47" s="13" t="n">
        <v>8897.9</v>
      </c>
      <c r="F47" s="13" t="n">
        <v>5762.4</v>
      </c>
      <c r="G47" s="10" t="n">
        <f aca="false">E47-F47</f>
        <v>3135.5</v>
      </c>
      <c r="H47" s="13" t="n">
        <v>2712.2</v>
      </c>
      <c r="I47" s="10" t="n">
        <f aca="false">C47+D47+E47+H47</f>
        <v>29214.3</v>
      </c>
      <c r="J47" s="13" t="n">
        <v>30186.5</v>
      </c>
      <c r="K47" s="10" t="n">
        <f aca="false">J47-I47</f>
        <v>972.200000000001</v>
      </c>
      <c r="L47" s="13" t="n">
        <v>13753.4</v>
      </c>
      <c r="M47" s="18" t="n">
        <f aca="false">C47/L47</f>
        <v>0.348815565605596</v>
      </c>
      <c r="N47" s="18" t="n">
        <f aca="false">D47/L47</f>
        <v>0.931173382581762</v>
      </c>
      <c r="O47" s="18" t="n">
        <f aca="false">E47/L47</f>
        <v>0.646960024430323</v>
      </c>
      <c r="P47" s="18" t="n">
        <f aca="false">H47/L47</f>
        <v>0.19720214637835</v>
      </c>
      <c r="Q47" s="13" t="n">
        <v>8420</v>
      </c>
      <c r="R47" s="18" t="n">
        <f aca="false">Q47/L47</f>
        <v>0.612212252970175</v>
      </c>
      <c r="S47" s="18" t="n">
        <f aca="false">(Q47+D47+E47+H47)/L47</f>
        <v>2.38754780636061</v>
      </c>
    </row>
    <row r="48" customFormat="false" ht="15" hidden="false" customHeight="true" outlineLevel="0" collapsed="false">
      <c r="A48" s="5" t="s">
        <v>387</v>
      </c>
      <c r="B48" s="34" t="n">
        <v>2006.5</v>
      </c>
      <c r="C48" s="13" t="n">
        <v>4843.2</v>
      </c>
      <c r="D48" s="13" t="n">
        <v>13092.4</v>
      </c>
      <c r="E48" s="13" t="n">
        <v>9045.2</v>
      </c>
      <c r="F48" s="13" t="n">
        <v>5806.5</v>
      </c>
      <c r="G48" s="10" t="n">
        <f aca="false">E48-F48</f>
        <v>3238.7</v>
      </c>
      <c r="H48" s="13" t="n">
        <v>2752.7</v>
      </c>
      <c r="I48" s="10" t="n">
        <f aca="false">C48+D48+E48+H48</f>
        <v>29733.5</v>
      </c>
      <c r="J48" s="13" t="n">
        <v>30663.9</v>
      </c>
      <c r="K48" s="10" t="n">
        <f aca="false">J48-I48</f>
        <v>930.400000000002</v>
      </c>
      <c r="L48" s="13" t="n">
        <v>13870.2</v>
      </c>
      <c r="M48" s="18" t="n">
        <f aca="false">C48/L48</f>
        <v>0.349180256953757</v>
      </c>
      <c r="N48" s="18" t="n">
        <f aca="false">D48/L48</f>
        <v>0.943922942711713</v>
      </c>
      <c r="O48" s="18" t="n">
        <f aca="false">E48/L48</f>
        <v>0.652131908696342</v>
      </c>
      <c r="P48" s="18" t="n">
        <f aca="false">H48/L48</f>
        <v>0.198461449726752</v>
      </c>
      <c r="Q48" s="13" t="n">
        <v>8507</v>
      </c>
      <c r="R48" s="18" t="n">
        <f aca="false">Q48/L48</f>
        <v>0.613329295900564</v>
      </c>
      <c r="S48" s="18" t="n">
        <f aca="false">(Q48+D48+E48+H48)/L48</f>
        <v>2.40784559703537</v>
      </c>
    </row>
    <row r="49" customFormat="false" ht="15" hidden="false" customHeight="true" outlineLevel="0" collapsed="false">
      <c r="A49" s="5" t="s">
        <v>388</v>
      </c>
      <c r="B49" s="34" t="n">
        <v>2006.75</v>
      </c>
      <c r="C49" s="13" t="n">
        <v>4901.2</v>
      </c>
      <c r="D49" s="13" t="n">
        <v>13347.4</v>
      </c>
      <c r="E49" s="13" t="n">
        <v>9291</v>
      </c>
      <c r="F49" s="13" t="n">
        <v>5948.6</v>
      </c>
      <c r="G49" s="10" t="n">
        <f aca="false">E49-F49</f>
        <v>3342.4</v>
      </c>
      <c r="H49" s="13" t="n">
        <v>2794.7</v>
      </c>
      <c r="I49" s="10" t="n">
        <f aca="false">C49+D49+E49+H49</f>
        <v>30334.3</v>
      </c>
      <c r="J49" s="13" t="n">
        <v>31237</v>
      </c>
      <c r="K49" s="10" t="n">
        <f aca="false">J49-I49</f>
        <v>902.700000000001</v>
      </c>
      <c r="L49" s="13" t="n">
        <v>14039.6</v>
      </c>
      <c r="M49" s="18" t="n">
        <f aca="false">C49/L49</f>
        <v>0.349098264907832</v>
      </c>
      <c r="N49" s="18" t="n">
        <f aca="false">D49/L49</f>
        <v>0.950696601042765</v>
      </c>
      <c r="O49" s="18" t="n">
        <f aca="false">E49/L49</f>
        <v>0.661770990626514</v>
      </c>
      <c r="P49" s="18" t="n">
        <f aca="false">H49/L49</f>
        <v>0.199058377731559</v>
      </c>
      <c r="Q49" s="13" t="n">
        <v>8680.2</v>
      </c>
      <c r="R49" s="18" t="n">
        <f aca="false">Q49/L49</f>
        <v>0.618265477648936</v>
      </c>
      <c r="S49" s="18" t="n">
        <f aca="false">(Q49+D49+E49+H49)/L49</f>
        <v>2.42979144704977</v>
      </c>
    </row>
    <row r="50" customFormat="false" ht="15" hidden="false" customHeight="true" outlineLevel="0" collapsed="false">
      <c r="A50" s="5" t="s">
        <v>389</v>
      </c>
      <c r="B50" s="34" t="n">
        <v>2007</v>
      </c>
      <c r="C50" s="13" t="n">
        <v>5054.3</v>
      </c>
      <c r="D50" s="13" t="n">
        <v>13550</v>
      </c>
      <c r="E50" s="13" t="n">
        <v>9540.1</v>
      </c>
      <c r="F50" s="13" t="n">
        <v>6080.6</v>
      </c>
      <c r="G50" s="10" t="n">
        <f aca="false">E50-F50</f>
        <v>3459.5</v>
      </c>
      <c r="H50" s="13" t="n">
        <v>2853.2</v>
      </c>
      <c r="I50" s="10" t="n">
        <f aca="false">C50+D50+E50+H50</f>
        <v>30997.6</v>
      </c>
      <c r="J50" s="13" t="n">
        <v>31868.9</v>
      </c>
      <c r="K50" s="10" t="n">
        <f aca="false">J50-I50</f>
        <v>871.299999999999</v>
      </c>
      <c r="L50" s="13" t="n">
        <v>14215.7</v>
      </c>
      <c r="M50" s="18" t="n">
        <f aca="false">C50/L50</f>
        <v>0.355543518785568</v>
      </c>
      <c r="N50" s="18" t="n">
        <f aca="false">D50/L50</f>
        <v>0.953171493489592</v>
      </c>
      <c r="O50" s="18" t="n">
        <f aca="false">E50/L50</f>
        <v>0.671096041700374</v>
      </c>
      <c r="P50" s="18" t="n">
        <f aca="false">H50/L50</f>
        <v>0.200707668282251</v>
      </c>
      <c r="Q50" s="13" t="n">
        <v>8849.7</v>
      </c>
      <c r="R50" s="18" t="n">
        <f aca="false">Q50/L50</f>
        <v>0.622530019626188</v>
      </c>
      <c r="S50" s="18" t="n">
        <f aca="false">(Q50+D50+E50+H50)/L50</f>
        <v>2.44750522309841</v>
      </c>
    </row>
    <row r="51" customFormat="false" ht="15" hidden="false" customHeight="true" outlineLevel="0" collapsed="false">
      <c r="A51" s="5" t="s">
        <v>390</v>
      </c>
      <c r="B51" s="34" t="n">
        <v>2007.25</v>
      </c>
      <c r="C51" s="13" t="n">
        <v>4943</v>
      </c>
      <c r="D51" s="13" t="n">
        <v>13857.7</v>
      </c>
      <c r="E51" s="13" t="n">
        <v>9853.4</v>
      </c>
      <c r="F51" s="13" t="n">
        <v>6278.6</v>
      </c>
      <c r="G51" s="10" t="n">
        <f aca="false">E51-F51</f>
        <v>3574.8</v>
      </c>
      <c r="H51" s="13" t="n">
        <v>2910.5</v>
      </c>
      <c r="I51" s="10" t="n">
        <f aca="false">C51+D51+E51+H51</f>
        <v>31564.6</v>
      </c>
      <c r="J51" s="13" t="n">
        <v>32560.8</v>
      </c>
      <c r="K51" s="10" t="n">
        <f aca="false">J51-I51</f>
        <v>996.200000000001</v>
      </c>
      <c r="L51" s="13" t="n">
        <v>14402.1</v>
      </c>
      <c r="M51" s="18" t="n">
        <f aca="false">C51/L51</f>
        <v>0.343213836871012</v>
      </c>
      <c r="N51" s="18" t="n">
        <f aca="false">D51/L51</f>
        <v>0.962199956950723</v>
      </c>
      <c r="O51" s="18" t="n">
        <f aca="false">E51/L51</f>
        <v>0.684164114955458</v>
      </c>
      <c r="P51" s="18" t="n">
        <f aca="false">H51/L51</f>
        <v>0.202088584303678</v>
      </c>
      <c r="Q51" s="13" t="n">
        <v>8867.7</v>
      </c>
      <c r="R51" s="18" t="n">
        <f aca="false">Q51/L51</f>
        <v>0.615722707105214</v>
      </c>
      <c r="S51" s="18" t="n">
        <f aca="false">(Q51+D51+E51+H51)/L51</f>
        <v>2.46417536331507</v>
      </c>
    </row>
    <row r="52" customFormat="false" ht="15" hidden="false" customHeight="true" outlineLevel="0" collapsed="false">
      <c r="A52" s="5" t="s">
        <v>391</v>
      </c>
      <c r="B52" s="34" t="n">
        <v>2007.5</v>
      </c>
      <c r="C52" s="13" t="n">
        <v>5049.2</v>
      </c>
      <c r="D52" s="13" t="n">
        <v>14060.1</v>
      </c>
      <c r="E52" s="13" t="n">
        <v>10175</v>
      </c>
      <c r="F52" s="13" t="n">
        <v>6484.4</v>
      </c>
      <c r="G52" s="10" t="n">
        <f aca="false">E52-F52</f>
        <v>3690.6</v>
      </c>
      <c r="H52" s="13" t="n">
        <v>2945.5</v>
      </c>
      <c r="I52" s="10" t="n">
        <f aca="false">C52+D52+E52+H52</f>
        <v>32229.8</v>
      </c>
      <c r="J52" s="13" t="n">
        <v>33174.8</v>
      </c>
      <c r="K52" s="10" t="n">
        <f aca="false">J52-I52</f>
        <v>945.000000000004</v>
      </c>
      <c r="L52" s="13" t="n">
        <v>14564.1</v>
      </c>
      <c r="M52" s="18" t="n">
        <f aca="false">C52/L52</f>
        <v>0.34668808920565</v>
      </c>
      <c r="N52" s="18" t="n">
        <f aca="false">D52/L52</f>
        <v>0.965394360104641</v>
      </c>
      <c r="O52" s="18" t="n">
        <f aca="false">E52/L52</f>
        <v>0.698635686379522</v>
      </c>
      <c r="P52" s="18" t="n">
        <f aca="false">H52/L52</f>
        <v>0.202243873634485</v>
      </c>
      <c r="Q52" s="13" t="n">
        <v>9007.7</v>
      </c>
      <c r="R52" s="18" t="n">
        <f aca="false">Q52/L52</f>
        <v>0.618486552550449</v>
      </c>
      <c r="S52" s="18" t="n">
        <f aca="false">(Q52+D52+E52+H52)/L52</f>
        <v>2.4847604726691</v>
      </c>
    </row>
    <row r="53" customFormat="false" ht="15" hidden="false" customHeight="true" outlineLevel="0" collapsed="false">
      <c r="A53" s="5" t="s">
        <v>392</v>
      </c>
      <c r="B53" s="34" t="n">
        <v>2007.75</v>
      </c>
      <c r="C53" s="13" t="n">
        <v>5136.3</v>
      </c>
      <c r="D53" s="13" t="n">
        <v>14243.7</v>
      </c>
      <c r="E53" s="13" t="n">
        <v>10448.8</v>
      </c>
      <c r="F53" s="13" t="n">
        <v>6641.9</v>
      </c>
      <c r="G53" s="10" t="n">
        <f aca="false">E53-F53</f>
        <v>3806.9</v>
      </c>
      <c r="H53" s="13" t="n">
        <v>2974.6</v>
      </c>
      <c r="I53" s="10" t="n">
        <f aca="false">C53+D53+E53+H53</f>
        <v>32803.4</v>
      </c>
      <c r="J53" s="13" t="n">
        <v>33741.3</v>
      </c>
      <c r="K53" s="10" t="n">
        <f aca="false">J53-I53</f>
        <v>937.900000000002</v>
      </c>
      <c r="L53" s="13" t="n">
        <v>14715.1</v>
      </c>
      <c r="M53" s="18" t="n">
        <f aca="false">C53/L53</f>
        <v>0.349049615700879</v>
      </c>
      <c r="N53" s="18" t="n">
        <f aca="false">D53/L53</f>
        <v>0.967964879613458</v>
      </c>
      <c r="O53" s="18" t="n">
        <f aca="false">E53/L53</f>
        <v>0.710073326039239</v>
      </c>
      <c r="P53" s="18" t="n">
        <f aca="false">H53/L53</f>
        <v>0.202146094827762</v>
      </c>
      <c r="Q53" s="13" t="n">
        <v>9229.2</v>
      </c>
      <c r="R53" s="18" t="n">
        <f aca="false">Q53/L53</f>
        <v>0.627192475756196</v>
      </c>
      <c r="S53" s="18" t="n">
        <f aca="false">(Q53+D53+E53+H53)/L53</f>
        <v>2.50737677623665</v>
      </c>
    </row>
    <row r="54" customFormat="false" ht="15" hidden="false" customHeight="true" outlineLevel="0" collapsed="false">
      <c r="A54" s="5" t="s">
        <v>393</v>
      </c>
      <c r="B54" s="34" t="n">
        <v>2008</v>
      </c>
      <c r="C54" s="13" t="n">
        <v>5334</v>
      </c>
      <c r="D54" s="13" t="n">
        <v>14412</v>
      </c>
      <c r="E54" s="13" t="n">
        <v>10660.1</v>
      </c>
      <c r="F54" s="13" t="n">
        <v>6767</v>
      </c>
      <c r="G54" s="10" t="n">
        <f aca="false">E54-F54</f>
        <v>3893.1</v>
      </c>
      <c r="H54" s="13" t="n">
        <v>3000.1</v>
      </c>
      <c r="I54" s="10" t="n">
        <f aca="false">C54+D54+E54+H54</f>
        <v>33406.2</v>
      </c>
      <c r="J54" s="13" t="n">
        <v>34315.3</v>
      </c>
      <c r="K54" s="10" t="n">
        <f aca="false">J54-I54</f>
        <v>909.100000000006</v>
      </c>
      <c r="L54" s="13" t="n">
        <v>14706.5</v>
      </c>
      <c r="M54" s="18" t="n">
        <f aca="false">C54/L54</f>
        <v>0.362696766735797</v>
      </c>
      <c r="N54" s="18" t="n">
        <f aca="false">D54/L54</f>
        <v>0.979974841056676</v>
      </c>
      <c r="O54" s="18" t="n">
        <f aca="false">E54/L54</f>
        <v>0.724856356033047</v>
      </c>
      <c r="P54" s="18" t="n">
        <f aca="false">H54/L54</f>
        <v>0.203998232074253</v>
      </c>
      <c r="Q54" s="13" t="n">
        <v>9437.6</v>
      </c>
      <c r="R54" s="18" t="n">
        <f aca="false">Q54/L54</f>
        <v>0.641729847346412</v>
      </c>
      <c r="S54" s="18" t="n">
        <f aca="false">(Q54+D54+E54+H54)/L54</f>
        <v>2.55055927651039</v>
      </c>
    </row>
    <row r="55" customFormat="false" ht="15" hidden="false" customHeight="true" outlineLevel="0" collapsed="false">
      <c r="A55" s="5" t="s">
        <v>394</v>
      </c>
      <c r="B55" s="34" t="n">
        <v>2008.25</v>
      </c>
      <c r="C55" s="13" t="n">
        <v>5285</v>
      </c>
      <c r="D55" s="13" t="n">
        <v>14362.9</v>
      </c>
      <c r="E55" s="13" t="n">
        <v>10866.2</v>
      </c>
      <c r="F55" s="13" t="n">
        <v>6886</v>
      </c>
      <c r="G55" s="10" t="n">
        <f aca="false">E55-F55</f>
        <v>3980.2</v>
      </c>
      <c r="H55" s="13" t="n">
        <v>3020.8</v>
      </c>
      <c r="I55" s="10" t="n">
        <f aca="false">C55+D55+E55+H55</f>
        <v>33534.9</v>
      </c>
      <c r="J55" s="13" t="n">
        <v>34577.6</v>
      </c>
      <c r="K55" s="10" t="n">
        <f aca="false">J55-I55</f>
        <v>1042.7</v>
      </c>
      <c r="L55" s="13" t="n">
        <v>14865.7</v>
      </c>
      <c r="M55" s="18" t="n">
        <f aca="false">C55/L55</f>
        <v>0.355516390079176</v>
      </c>
      <c r="N55" s="18" t="n">
        <f aca="false">D55/L55</f>
        <v>0.966177172955192</v>
      </c>
      <c r="O55" s="18" t="n">
        <f aca="false">E55/L55</f>
        <v>0.7309578425503</v>
      </c>
      <c r="P55" s="18" t="n">
        <f aca="false">H55/L55</f>
        <v>0.203206038060771</v>
      </c>
      <c r="Q55" s="13" t="n">
        <v>9492</v>
      </c>
      <c r="R55" s="18" t="n">
        <f aca="false">Q55/L55</f>
        <v>0.638516854234917</v>
      </c>
      <c r="S55" s="18" t="n">
        <f aca="false">(Q55+D55+E55+H55)/L55</f>
        <v>2.53885790780118</v>
      </c>
    </row>
    <row r="56" customFormat="false" ht="15" hidden="false" customHeight="true" outlineLevel="0" collapsed="false">
      <c r="A56" s="5" t="s">
        <v>395</v>
      </c>
      <c r="B56" s="34" t="n">
        <v>2008.5</v>
      </c>
      <c r="C56" s="13" t="n">
        <v>5814.2</v>
      </c>
      <c r="D56" s="13" t="n">
        <v>14471.5</v>
      </c>
      <c r="E56" s="13" t="n">
        <v>11008.5</v>
      </c>
      <c r="F56" s="13" t="n">
        <v>6957.2</v>
      </c>
      <c r="G56" s="10" t="n">
        <f aca="false">E56-F56</f>
        <v>4051.3</v>
      </c>
      <c r="H56" s="13" t="n">
        <v>3030.2</v>
      </c>
      <c r="I56" s="10" t="n">
        <f aca="false">C56+D56+E56+H56</f>
        <v>34324.4</v>
      </c>
      <c r="J56" s="13" t="n">
        <v>35331.6</v>
      </c>
      <c r="K56" s="10" t="n">
        <f aca="false">J56-I56</f>
        <v>1007.2</v>
      </c>
      <c r="L56" s="13" t="n">
        <v>14899</v>
      </c>
      <c r="M56" s="18" t="n">
        <f aca="false">C56/L56</f>
        <v>0.390240955768844</v>
      </c>
      <c r="N56" s="18" t="n">
        <f aca="false">D56/L56</f>
        <v>0.971306799114035</v>
      </c>
      <c r="O56" s="18" t="n">
        <f aca="false">E56/L56</f>
        <v>0.738875092288073</v>
      </c>
      <c r="P56" s="18" t="n">
        <f aca="false">H56/L56</f>
        <v>0.203382777367609</v>
      </c>
      <c r="Q56" s="13" t="n">
        <v>10024.7</v>
      </c>
      <c r="R56" s="18" t="n">
        <f aca="false">Q56/L56</f>
        <v>0.672843815021142</v>
      </c>
      <c r="S56" s="18" t="n">
        <f aca="false">(Q56+D56+E56+H56)/L56</f>
        <v>2.58640848379086</v>
      </c>
    </row>
    <row r="57" customFormat="false" ht="15" hidden="false" customHeight="true" outlineLevel="0" collapsed="false">
      <c r="A57" s="5" t="s">
        <v>396</v>
      </c>
      <c r="B57" s="34" t="n">
        <v>2008.75</v>
      </c>
      <c r="C57" s="13" t="n">
        <v>6372.7</v>
      </c>
      <c r="D57" s="13" t="n">
        <v>14163.7</v>
      </c>
      <c r="E57" s="13" t="n">
        <v>11044.7</v>
      </c>
      <c r="F57" s="13" t="n">
        <v>6919.4</v>
      </c>
      <c r="G57" s="10" t="n">
        <f aca="false">E57-F57</f>
        <v>4125.3</v>
      </c>
      <c r="H57" s="13" t="n">
        <v>3023.5</v>
      </c>
      <c r="I57" s="10" t="n">
        <f aca="false">C57+D57+E57+H57</f>
        <v>34604.6</v>
      </c>
      <c r="J57" s="13" t="n">
        <v>35608.7</v>
      </c>
      <c r="K57" s="10" t="n">
        <f aca="false">J57-I57</f>
        <v>1004.09999999999</v>
      </c>
      <c r="L57" s="13" t="n">
        <v>14608.2</v>
      </c>
      <c r="M57" s="18" t="n">
        <f aca="false">C57/L57</f>
        <v>0.436241289138977</v>
      </c>
      <c r="N57" s="18" t="n">
        <f aca="false">D57/L57</f>
        <v>0.969571884284169</v>
      </c>
      <c r="O57" s="18" t="n">
        <f aca="false">E57/L57</f>
        <v>0.756061663996933</v>
      </c>
      <c r="P57" s="18" t="n">
        <f aca="false">H57/L57</f>
        <v>0.20697279610082</v>
      </c>
      <c r="Q57" s="13" t="n">
        <v>10699.8</v>
      </c>
      <c r="R57" s="18" t="n">
        <f aca="false">Q57/L57</f>
        <v>0.732451636751961</v>
      </c>
      <c r="S57" s="18" t="n">
        <f aca="false">(Q57+D57+E57+H57)/L57</f>
        <v>2.66505798113388</v>
      </c>
    </row>
    <row r="58" customFormat="false" ht="15" hidden="false" customHeight="true" outlineLevel="0" collapsed="false">
      <c r="A58" s="5" t="s">
        <v>397</v>
      </c>
      <c r="B58" s="34" t="n">
        <v>2009</v>
      </c>
      <c r="C58" s="13" t="n">
        <v>6836.3</v>
      </c>
      <c r="D58" s="13" t="n">
        <v>14109.8</v>
      </c>
      <c r="E58" s="13" t="n">
        <v>10976.5</v>
      </c>
      <c r="F58" s="13" t="n">
        <v>6863.7</v>
      </c>
      <c r="G58" s="10" t="n">
        <f aca="false">E58-F58</f>
        <v>4112.8</v>
      </c>
      <c r="H58" s="13" t="n">
        <v>3059.7</v>
      </c>
      <c r="I58" s="10" t="n">
        <f aca="false">C58+D58+E58+H58</f>
        <v>34982.3</v>
      </c>
      <c r="J58" s="13" t="n">
        <v>35933.5</v>
      </c>
      <c r="K58" s="10" t="n">
        <f aca="false">J58-I58</f>
        <v>951.200000000004</v>
      </c>
      <c r="L58" s="13" t="n">
        <v>14430.9</v>
      </c>
      <c r="M58" s="18" t="n">
        <f aca="false">C58/L58</f>
        <v>0.473726517403627</v>
      </c>
      <c r="N58" s="18" t="n">
        <f aca="false">D58/L58</f>
        <v>0.977749135535552</v>
      </c>
      <c r="O58" s="18" t="n">
        <f aca="false">E58/L58</f>
        <v>0.760624770457837</v>
      </c>
      <c r="P58" s="18" t="n">
        <f aca="false">H58/L58</f>
        <v>0.212024198074964</v>
      </c>
      <c r="Q58" s="13" t="n">
        <v>11126.9</v>
      </c>
      <c r="R58" s="18" t="n">
        <f aca="false">Q58/L58</f>
        <v>0.771046850854763</v>
      </c>
      <c r="S58" s="18" t="n">
        <f aca="false">(Q58+D58+E58+H58)/L58</f>
        <v>2.72144495492312</v>
      </c>
    </row>
    <row r="59" customFormat="false" ht="15" hidden="false" customHeight="true" outlineLevel="0" collapsed="false">
      <c r="A59" s="5" t="s">
        <v>398</v>
      </c>
      <c r="B59" s="34" t="n">
        <v>2009.25</v>
      </c>
      <c r="C59" s="13" t="n">
        <v>7176.5</v>
      </c>
      <c r="D59" s="13" t="n">
        <v>14084.5</v>
      </c>
      <c r="E59" s="13" t="n">
        <v>10880</v>
      </c>
      <c r="F59" s="13" t="n">
        <v>6797.2</v>
      </c>
      <c r="G59" s="10" t="n">
        <f aca="false">E59-F59</f>
        <v>4082.8</v>
      </c>
      <c r="H59" s="13" t="n">
        <v>3102.5</v>
      </c>
      <c r="I59" s="10" t="n">
        <f aca="false">C59+D59+E59+H59</f>
        <v>35243.5</v>
      </c>
      <c r="J59" s="13" t="n">
        <v>36319.3</v>
      </c>
      <c r="K59" s="10" t="n">
        <f aca="false">J59-I59</f>
        <v>1075.8</v>
      </c>
      <c r="L59" s="13" t="n">
        <v>14381.2</v>
      </c>
      <c r="M59" s="18" t="n">
        <f aca="false">C59/L59</f>
        <v>0.499019553305705</v>
      </c>
      <c r="N59" s="18" t="n">
        <f aca="false">D59/L59</f>
        <v>0.979368898283871</v>
      </c>
      <c r="O59" s="18" t="n">
        <f aca="false">E59/L59</f>
        <v>0.756543264817957</v>
      </c>
      <c r="P59" s="18" t="n">
        <f aca="false">H59/L59</f>
        <v>0.215733040358245</v>
      </c>
      <c r="Q59" s="13" t="n">
        <v>11545.3</v>
      </c>
      <c r="R59" s="18" t="n">
        <f aca="false">Q59/L59</f>
        <v>0.802805051038856</v>
      </c>
      <c r="S59" s="18" t="n">
        <f aca="false">(Q59+D59+E59+H59)/L59</f>
        <v>2.75445025449893</v>
      </c>
    </row>
    <row r="60" customFormat="false" ht="15" hidden="false" customHeight="true" outlineLevel="0" collapsed="false">
      <c r="A60" s="5" t="s">
        <v>399</v>
      </c>
      <c r="B60" s="34" t="n">
        <v>2009.5</v>
      </c>
      <c r="C60" s="13" t="n">
        <v>7554.5</v>
      </c>
      <c r="D60" s="13" t="n">
        <v>14036</v>
      </c>
      <c r="E60" s="13" t="n">
        <v>10700.4</v>
      </c>
      <c r="F60" s="13" t="n">
        <v>6651</v>
      </c>
      <c r="G60" s="10" t="n">
        <f aca="false">E60-F60</f>
        <v>4049.4</v>
      </c>
      <c r="H60" s="13" t="n">
        <v>3126.7</v>
      </c>
      <c r="I60" s="10" t="n">
        <f aca="false">C60+D60+E60+H60</f>
        <v>35417.6</v>
      </c>
      <c r="J60" s="13" t="n">
        <v>36501.3</v>
      </c>
      <c r="K60" s="10" t="n">
        <f aca="false">J60-I60</f>
        <v>1083.7</v>
      </c>
      <c r="L60" s="13" t="n">
        <v>14448.9</v>
      </c>
      <c r="M60" s="18" t="n">
        <f aca="false">C60/L60</f>
        <v>0.522842569330537</v>
      </c>
      <c r="N60" s="18" t="n">
        <f aca="false">D60/L60</f>
        <v>0.971423430157313</v>
      </c>
      <c r="O60" s="18" t="n">
        <f aca="false">E60/L60</f>
        <v>0.740568486182339</v>
      </c>
      <c r="P60" s="18" t="n">
        <f aca="false">H60/L60</f>
        <v>0.216397095972704</v>
      </c>
      <c r="Q60" s="13" t="n">
        <v>11909.8</v>
      </c>
      <c r="R60" s="18" t="n">
        <f aca="false">Q60/L60</f>
        <v>0.82427035968136</v>
      </c>
      <c r="S60" s="18" t="n">
        <f aca="false">(Q60+D60+E60+H60)/L60</f>
        <v>2.75265937199372</v>
      </c>
    </row>
    <row r="61" customFormat="false" ht="15" hidden="false" customHeight="true" outlineLevel="0" collapsed="false">
      <c r="A61" s="5" t="s">
        <v>400</v>
      </c>
      <c r="B61" s="34" t="n">
        <v>2009.75</v>
      </c>
      <c r="C61" s="13" t="n">
        <v>7814.4</v>
      </c>
      <c r="D61" s="13" t="n">
        <v>14003.3</v>
      </c>
      <c r="E61" s="13" t="n">
        <v>10494.3</v>
      </c>
      <c r="F61" s="13" t="n">
        <v>6478</v>
      </c>
      <c r="G61" s="10" t="n">
        <f aca="false">E61-F61</f>
        <v>4016.3</v>
      </c>
      <c r="H61" s="13" t="n">
        <v>3167.1</v>
      </c>
      <c r="I61" s="10" t="n">
        <f aca="false">C61+D61+E61+H61</f>
        <v>35479.1</v>
      </c>
      <c r="J61" s="13" t="n">
        <v>36547.3</v>
      </c>
      <c r="K61" s="10" t="n">
        <f aca="false">J61-I61</f>
        <v>1068.2</v>
      </c>
      <c r="L61" s="13" t="n">
        <v>14651.2</v>
      </c>
      <c r="M61" s="18" t="n">
        <f aca="false">C61/L61</f>
        <v>0.533362454952495</v>
      </c>
      <c r="N61" s="18" t="n">
        <f aca="false">D61/L61</f>
        <v>0.955778366277165</v>
      </c>
      <c r="O61" s="18" t="n">
        <f aca="false">E61/L61</f>
        <v>0.716275799934476</v>
      </c>
      <c r="P61" s="18" t="n">
        <f aca="false">H61/L61</f>
        <v>0.216166593862619</v>
      </c>
      <c r="Q61" s="13" t="n">
        <v>12311.3</v>
      </c>
      <c r="R61" s="18" t="n">
        <f aca="false">Q61/L61</f>
        <v>0.840292945287758</v>
      </c>
      <c r="S61" s="18" t="n">
        <f aca="false">(Q61+D61+E61+H61)/L61</f>
        <v>2.72851370536202</v>
      </c>
    </row>
    <row r="62" customFormat="false" ht="15" hidden="false" customHeight="true" outlineLevel="0" collapsed="false">
      <c r="A62" s="5" t="s">
        <v>401</v>
      </c>
      <c r="B62" s="34" t="n">
        <v>2010</v>
      </c>
      <c r="C62" s="13" t="n">
        <v>8294.3</v>
      </c>
      <c r="D62" s="13" t="n">
        <v>13951.2</v>
      </c>
      <c r="E62" s="13" t="n">
        <v>10466.5</v>
      </c>
      <c r="F62" s="13" t="n">
        <v>6456.5</v>
      </c>
      <c r="G62" s="10" t="n">
        <f aca="false">E62-F62</f>
        <v>4010</v>
      </c>
      <c r="H62" s="13" t="n">
        <v>3195.7</v>
      </c>
      <c r="I62" s="10" t="n">
        <f aca="false">C62+D62+E62+H62</f>
        <v>35907.7</v>
      </c>
      <c r="J62" s="13" t="n">
        <v>36909.5</v>
      </c>
      <c r="K62" s="10" t="n">
        <f aca="false">J62-I62</f>
        <v>1001.8</v>
      </c>
      <c r="L62" s="13" t="n">
        <v>14764.6</v>
      </c>
      <c r="M62" s="18" t="n">
        <f aca="false">C62/L62</f>
        <v>0.561769367270363</v>
      </c>
      <c r="N62" s="18" t="n">
        <f aca="false">D62/L62</f>
        <v>0.944908768270051</v>
      </c>
      <c r="O62" s="18" t="n">
        <f aca="false">E62/L62</f>
        <v>0.708891537867602</v>
      </c>
      <c r="P62" s="18" t="n">
        <f aca="false">H62/L62</f>
        <v>0.216443384852959</v>
      </c>
      <c r="Q62" s="13" t="n">
        <v>12773.1</v>
      </c>
      <c r="R62" s="18" t="n">
        <f aca="false">Q62/L62</f>
        <v>0.865116562588895</v>
      </c>
      <c r="S62" s="18" t="n">
        <f aca="false">(Q62+D62+E62+H62)/L62</f>
        <v>2.73536025357951</v>
      </c>
    </row>
    <row r="63" customFormat="false" ht="15" hidden="false" customHeight="true" outlineLevel="0" collapsed="false">
      <c r="A63" s="5" t="s">
        <v>402</v>
      </c>
      <c r="B63" s="34" t="n">
        <v>2010.25</v>
      </c>
      <c r="C63" s="13" t="n">
        <v>8639.2</v>
      </c>
      <c r="D63" s="13" t="n">
        <v>13892.9</v>
      </c>
      <c r="E63" s="13" t="n">
        <v>10399</v>
      </c>
      <c r="F63" s="13" t="n">
        <v>6396.5</v>
      </c>
      <c r="G63" s="10" t="n">
        <f aca="false">E63-F63</f>
        <v>4002.5</v>
      </c>
      <c r="H63" s="13" t="n">
        <v>3202.1</v>
      </c>
      <c r="I63" s="10" t="n">
        <f aca="false">C63+D63+E63+H63</f>
        <v>36133.2</v>
      </c>
      <c r="J63" s="13" t="n">
        <v>37290.1</v>
      </c>
      <c r="K63" s="10" t="n">
        <f aca="false">J63-I63</f>
        <v>1156.9</v>
      </c>
      <c r="L63" s="13" t="n">
        <v>14980.2</v>
      </c>
      <c r="M63" s="18" t="n">
        <f aca="false">C63/L63</f>
        <v>0.576707921122548</v>
      </c>
      <c r="N63" s="18" t="n">
        <f aca="false">D63/L63</f>
        <v>0.927417524465628</v>
      </c>
      <c r="O63" s="18" t="n">
        <f aca="false">E63/L63</f>
        <v>0.694182988211105</v>
      </c>
      <c r="P63" s="18" t="n">
        <f aca="false">H63/L63</f>
        <v>0.2137554905809</v>
      </c>
      <c r="Q63" s="13" t="n">
        <v>13201.8</v>
      </c>
      <c r="R63" s="18" t="n">
        <f aca="false">Q63/L63</f>
        <v>0.881283293948011</v>
      </c>
      <c r="S63" s="18" t="n">
        <f aca="false">(Q63+D63+E63+H63)/L63</f>
        <v>2.71663929720564</v>
      </c>
    </row>
    <row r="64" customFormat="false" ht="15" hidden="false" customHeight="true" outlineLevel="0" collapsed="false">
      <c r="A64" s="5" t="s">
        <v>403</v>
      </c>
      <c r="B64" s="34" t="n">
        <v>2010.5</v>
      </c>
      <c r="C64" s="13" t="n">
        <v>9027.6</v>
      </c>
      <c r="D64" s="13" t="n">
        <v>13791.9</v>
      </c>
      <c r="E64" s="13" t="n">
        <v>10439.6</v>
      </c>
      <c r="F64" s="13" t="n">
        <v>6441</v>
      </c>
      <c r="G64" s="10" t="n">
        <f aca="false">E64-F64</f>
        <v>3998.6</v>
      </c>
      <c r="H64" s="13" t="n">
        <v>3216.6</v>
      </c>
      <c r="I64" s="10" t="n">
        <f aca="false">C64+D64+E64+H64</f>
        <v>36475.7</v>
      </c>
      <c r="J64" s="13" t="n">
        <v>37665.5</v>
      </c>
      <c r="K64" s="10" t="n">
        <f aca="false">J64-I64</f>
        <v>1189.8</v>
      </c>
      <c r="L64" s="13" t="n">
        <v>15141.6</v>
      </c>
      <c r="M64" s="18" t="n">
        <f aca="false">C64/L64</f>
        <v>0.596211760976383</v>
      </c>
      <c r="N64" s="18" t="n">
        <f aca="false">D64/L64</f>
        <v>0.910861467744492</v>
      </c>
      <c r="O64" s="18" t="n">
        <f aca="false">E64/L64</f>
        <v>0.689464785755799</v>
      </c>
      <c r="P64" s="18" t="n">
        <f aca="false">H64/L64</f>
        <v>0.212434617213505</v>
      </c>
      <c r="Q64" s="13" t="n">
        <v>13561.6</v>
      </c>
      <c r="R64" s="18" t="n">
        <f aca="false">Q64/L64</f>
        <v>0.895651714481957</v>
      </c>
      <c r="S64" s="18" t="n">
        <f aca="false">(Q64+D64+E64+H64)/L64</f>
        <v>2.70841258519575</v>
      </c>
    </row>
    <row r="65" customFormat="false" ht="15" hidden="false" customHeight="true" outlineLevel="0" collapsed="false">
      <c r="A65" s="5" t="s">
        <v>404</v>
      </c>
      <c r="B65" s="34" t="n">
        <v>2010.75</v>
      </c>
      <c r="C65" s="13" t="n">
        <v>9395.4</v>
      </c>
      <c r="D65" s="13" t="n">
        <v>13770.8</v>
      </c>
      <c r="E65" s="13" t="n">
        <v>10362.6</v>
      </c>
      <c r="F65" s="13" t="n">
        <v>6375.9</v>
      </c>
      <c r="G65" s="10" t="n">
        <f aca="false">E65-F65</f>
        <v>3986.7</v>
      </c>
      <c r="H65" s="13" t="n">
        <v>3267</v>
      </c>
      <c r="I65" s="10" t="n">
        <f aca="false">C65+D65+E65+H65</f>
        <v>36795.8</v>
      </c>
      <c r="J65" s="13" t="n">
        <v>37929.1</v>
      </c>
      <c r="K65" s="10" t="n">
        <f aca="false">J65-I65</f>
        <v>1133.3</v>
      </c>
      <c r="L65" s="13" t="n">
        <v>15309.5</v>
      </c>
      <c r="M65" s="18" t="n">
        <f aca="false">C65/L65</f>
        <v>0.613697377445377</v>
      </c>
      <c r="N65" s="18" t="n">
        <f aca="false">D65/L65</f>
        <v>0.899493778372906</v>
      </c>
      <c r="O65" s="18" t="n">
        <f aca="false">E65/L65</f>
        <v>0.676873836506744</v>
      </c>
      <c r="P65" s="18" t="n">
        <f aca="false">H65/L65</f>
        <v>0.213396910415102</v>
      </c>
      <c r="Q65" s="13" t="n">
        <v>14025.2</v>
      </c>
      <c r="R65" s="18" t="n">
        <f aca="false">Q65/L65</f>
        <v>0.916110911525523</v>
      </c>
      <c r="S65" s="18" t="n">
        <f aca="false">(Q65+D65+E65+H65)/L65</f>
        <v>2.70587543682028</v>
      </c>
    </row>
    <row r="66" customFormat="false" ht="15" hidden="false" customHeight="true" outlineLevel="0" collapsed="false">
      <c r="A66" s="5" t="s">
        <v>405</v>
      </c>
      <c r="B66" s="34" t="n">
        <v>2011</v>
      </c>
      <c r="C66" s="13" t="n">
        <v>9656.6</v>
      </c>
      <c r="D66" s="13" t="n">
        <v>13791.6</v>
      </c>
      <c r="E66" s="13" t="n">
        <v>10372.5</v>
      </c>
      <c r="F66" s="13" t="n">
        <v>6401.7</v>
      </c>
      <c r="G66" s="10" t="n">
        <f aca="false">E66-F66</f>
        <v>3970.8</v>
      </c>
      <c r="H66" s="13" t="n">
        <v>3246.3</v>
      </c>
      <c r="I66" s="10" t="n">
        <f aca="false">C66+D66+E66+H66</f>
        <v>37067</v>
      </c>
      <c r="J66" s="13" t="n">
        <v>38135.3</v>
      </c>
      <c r="K66" s="10" t="n">
        <f aca="false">J66-I66</f>
        <v>1068.3</v>
      </c>
      <c r="L66" s="13" t="n">
        <v>15351.4</v>
      </c>
      <c r="M66" s="18" t="n">
        <f aca="false">C66/L66</f>
        <v>0.629037091079641</v>
      </c>
      <c r="N66" s="18" t="n">
        <f aca="false">D66/L66</f>
        <v>0.898393631851167</v>
      </c>
      <c r="O66" s="18" t="n">
        <f aca="false">E66/L66</f>
        <v>0.675671274281173</v>
      </c>
      <c r="P66" s="18" t="n">
        <f aca="false">H66/L66</f>
        <v>0.211466055213205</v>
      </c>
      <c r="Q66" s="13" t="n">
        <v>14270.1</v>
      </c>
      <c r="R66" s="18" t="n">
        <f aca="false">Q66/L66</f>
        <v>0.929563427439843</v>
      </c>
      <c r="S66" s="18" t="n">
        <f aca="false">(Q66+D66+E66+H66)/L66</f>
        <v>2.71509438878539</v>
      </c>
    </row>
    <row r="67" customFormat="false" ht="15" hidden="false" customHeight="true" outlineLevel="0" collapsed="false">
      <c r="A67" s="5" t="s">
        <v>406</v>
      </c>
      <c r="B67" s="34" t="n">
        <v>2011.25</v>
      </c>
      <c r="C67" s="13" t="n">
        <v>9746.9</v>
      </c>
      <c r="D67" s="13" t="n">
        <v>13741.1</v>
      </c>
      <c r="E67" s="13" t="n">
        <v>10457.3</v>
      </c>
      <c r="F67" s="13" t="n">
        <v>6505</v>
      </c>
      <c r="G67" s="10" t="n">
        <f aca="false">E67-F67</f>
        <v>3952.3</v>
      </c>
      <c r="H67" s="13" t="n">
        <v>3226.4</v>
      </c>
      <c r="I67" s="10" t="n">
        <f aca="false">C67+D67+E67+H67</f>
        <v>37171.7</v>
      </c>
      <c r="J67" s="13" t="n">
        <v>38424.7</v>
      </c>
      <c r="K67" s="10" t="n">
        <f aca="false">J67-I67</f>
        <v>1252.99999999999</v>
      </c>
      <c r="L67" s="13" t="n">
        <v>15557.5</v>
      </c>
      <c r="M67" s="18" t="n">
        <f aca="false">C67/L67</f>
        <v>0.626508115057046</v>
      </c>
      <c r="N67" s="18" t="n">
        <f aca="false">D67/L67</f>
        <v>0.883246022818576</v>
      </c>
      <c r="O67" s="18" t="n">
        <f aca="false">E67/L67</f>
        <v>0.672170978627672</v>
      </c>
      <c r="P67" s="18" t="n">
        <f aca="false">H67/L67</f>
        <v>0.207385505383256</v>
      </c>
      <c r="Q67" s="13" t="n">
        <v>14343.1</v>
      </c>
      <c r="R67" s="18" t="n">
        <f aca="false">Q67/L67</f>
        <v>0.921941185923188</v>
      </c>
      <c r="S67" s="18" t="n">
        <f aca="false">(Q67+D67+E67+H67)/L67</f>
        <v>2.68474369275269</v>
      </c>
    </row>
    <row r="68" customFormat="false" ht="15" hidden="false" customHeight="true" outlineLevel="0" collapsed="false">
      <c r="A68" s="5" t="s">
        <v>407</v>
      </c>
      <c r="B68" s="34" t="n">
        <v>2011.5</v>
      </c>
      <c r="C68" s="13" t="n">
        <v>10132</v>
      </c>
      <c r="D68" s="13" t="n">
        <v>13688.9</v>
      </c>
      <c r="E68" s="13" t="n">
        <v>10537.4</v>
      </c>
      <c r="F68" s="13" t="n">
        <v>6604.1</v>
      </c>
      <c r="G68" s="10" t="n">
        <f aca="false">E68-F68</f>
        <v>3933.3</v>
      </c>
      <c r="H68" s="13" t="n">
        <v>3233.6</v>
      </c>
      <c r="I68" s="10" t="n">
        <f aca="false">C68+D68+E68+H68</f>
        <v>37591.9</v>
      </c>
      <c r="J68" s="13" t="n">
        <v>38863.4</v>
      </c>
      <c r="K68" s="10" t="n">
        <f aca="false">J68-I68</f>
        <v>1271.5</v>
      </c>
      <c r="L68" s="13" t="n">
        <v>15647.7</v>
      </c>
      <c r="M68" s="18" t="n">
        <f aca="false">C68/L68</f>
        <v>0.647507301392537</v>
      </c>
      <c r="N68" s="18" t="n">
        <f aca="false">D68/L68</f>
        <v>0.874818663445746</v>
      </c>
      <c r="O68" s="18" t="n">
        <f aca="false">E68/L68</f>
        <v>0.673415262306921</v>
      </c>
      <c r="P68" s="18" t="n">
        <f aca="false">H68/L68</f>
        <v>0.2066501786205</v>
      </c>
      <c r="Q68" s="13" t="n">
        <v>14790.3</v>
      </c>
      <c r="R68" s="18" t="n">
        <f aca="false">Q68/L68</f>
        <v>0.945206004716348</v>
      </c>
      <c r="S68" s="18" t="n">
        <f aca="false">(Q68+D68+E68+H68)/L68</f>
        <v>2.70009010908951</v>
      </c>
    </row>
    <row r="69" customFormat="false" ht="15" hidden="false" customHeight="true" outlineLevel="0" collapsed="false">
      <c r="A69" s="5" t="s">
        <v>408</v>
      </c>
      <c r="B69" s="34" t="n">
        <v>2011.75</v>
      </c>
      <c r="C69" s="13" t="n">
        <v>10452.5</v>
      </c>
      <c r="D69" s="13" t="n">
        <v>13662.5</v>
      </c>
      <c r="E69" s="13" t="n">
        <v>10636</v>
      </c>
      <c r="F69" s="13" t="n">
        <v>6714.8</v>
      </c>
      <c r="G69" s="10" t="n">
        <f aca="false">E69-F69</f>
        <v>3921.2</v>
      </c>
      <c r="H69" s="13" t="n">
        <v>3243.9</v>
      </c>
      <c r="I69" s="10" t="n">
        <f aca="false">C69+D69+E69+H69</f>
        <v>37994.9</v>
      </c>
      <c r="J69" s="13" t="n">
        <v>39209.6</v>
      </c>
      <c r="K69" s="10" t="n">
        <f aca="false">J69-I69</f>
        <v>1214.7</v>
      </c>
      <c r="L69" s="13" t="n">
        <v>15842.3</v>
      </c>
      <c r="M69" s="18" t="n">
        <f aca="false">C69/L69</f>
        <v>0.659784248499271</v>
      </c>
      <c r="N69" s="18" t="n">
        <f aca="false">D69/L69</f>
        <v>0.862406342513398</v>
      </c>
      <c r="O69" s="18" t="n">
        <f aca="false">E69/L69</f>
        <v>0.67136716259634</v>
      </c>
      <c r="P69" s="18" t="n">
        <f aca="false">H69/L69</f>
        <v>0.20476193482007</v>
      </c>
      <c r="Q69" s="13" t="n">
        <v>15222.9</v>
      </c>
      <c r="R69" s="18" t="n">
        <f aca="false">Q69/L69</f>
        <v>0.96090214173447</v>
      </c>
      <c r="S69" s="18" t="n">
        <f aca="false">(Q69+D69+E69+H69)/L69</f>
        <v>2.69943758166428</v>
      </c>
    </row>
    <row r="70" customFormat="false" ht="15" hidden="false" customHeight="true" outlineLevel="0" collapsed="false">
      <c r="A70" s="5" t="s">
        <v>409</v>
      </c>
      <c r="B70" s="34" t="n">
        <v>2012</v>
      </c>
      <c r="C70" s="13" t="n">
        <v>10876.4</v>
      </c>
      <c r="D70" s="13" t="n">
        <v>13659.2</v>
      </c>
      <c r="E70" s="13" t="n">
        <v>10723.9</v>
      </c>
      <c r="F70" s="13" t="n">
        <v>6760.1</v>
      </c>
      <c r="G70" s="10" t="n">
        <f aca="false">E70-F70</f>
        <v>3963.8</v>
      </c>
      <c r="H70" s="13" t="n">
        <v>3247.8</v>
      </c>
      <c r="I70" s="10" t="n">
        <f aca="false">C70+D70+E70+H70</f>
        <v>38507.3</v>
      </c>
      <c r="J70" s="13" t="n">
        <v>39633.6</v>
      </c>
      <c r="K70" s="10" t="n">
        <f aca="false">J70-I70</f>
        <v>1126.3</v>
      </c>
      <c r="L70" s="13" t="n">
        <v>16068.8</v>
      </c>
      <c r="M70" s="18" t="n">
        <f aca="false">C70/L70</f>
        <v>0.676864482724286</v>
      </c>
      <c r="N70" s="18" t="n">
        <f aca="false">D70/L70</f>
        <v>0.850044807328488</v>
      </c>
      <c r="O70" s="18" t="n">
        <f aca="false">E70/L70</f>
        <v>0.66737404162103</v>
      </c>
      <c r="P70" s="18" t="n">
        <f aca="false">H70/L70</f>
        <v>0.202118390919048</v>
      </c>
      <c r="Q70" s="13" t="n">
        <v>15606.5</v>
      </c>
      <c r="R70" s="18" t="n">
        <f aca="false">Q70/L70</f>
        <v>0.971229961166982</v>
      </c>
      <c r="S70" s="18" t="n">
        <f aca="false">(Q70+D70+E70+H70)/L70</f>
        <v>2.69076720103555</v>
      </c>
    </row>
    <row r="71" customFormat="false" ht="15" hidden="false" customHeight="true" outlineLevel="0" collapsed="false">
      <c r="A71" s="5" t="s">
        <v>410</v>
      </c>
      <c r="B71" s="34" t="n">
        <v>2012.25</v>
      </c>
      <c r="C71" s="13" t="n">
        <v>11048.2</v>
      </c>
      <c r="D71" s="13" t="n">
        <v>13625.3</v>
      </c>
      <c r="E71" s="13" t="n">
        <v>10838.5</v>
      </c>
      <c r="F71" s="13" t="n">
        <v>6830.3</v>
      </c>
      <c r="G71" s="10" t="n">
        <f aca="false">E71-F71</f>
        <v>4008.2</v>
      </c>
      <c r="H71" s="13" t="n">
        <v>3269.7</v>
      </c>
      <c r="I71" s="10" t="n">
        <f aca="false">C71+D71+E71+H71</f>
        <v>38781.7</v>
      </c>
      <c r="J71" s="13" t="n">
        <v>40119.2</v>
      </c>
      <c r="K71" s="10" t="n">
        <f aca="false">J71-I71</f>
        <v>1337.5</v>
      </c>
      <c r="L71" s="13" t="n">
        <v>16207.1</v>
      </c>
      <c r="M71" s="18" t="n">
        <f aca="false">C71/L71</f>
        <v>0.681688889437345</v>
      </c>
      <c r="N71" s="18" t="n">
        <f aca="false">D71/L71</f>
        <v>0.840699446538863</v>
      </c>
      <c r="O71" s="18" t="n">
        <f aca="false">E71/L71</f>
        <v>0.668750115690037</v>
      </c>
      <c r="P71" s="18" t="n">
        <f aca="false">H71/L71</f>
        <v>0.20174491426597</v>
      </c>
      <c r="Q71" s="13" t="n">
        <v>15855</v>
      </c>
      <c r="R71" s="18" t="n">
        <f aca="false">Q71/L71</f>
        <v>0.978274953569732</v>
      </c>
      <c r="S71" s="18" t="n">
        <f aca="false">(Q71+D71+E71+H71)/L71</f>
        <v>2.6894694300646</v>
      </c>
    </row>
    <row r="72" customFormat="false" ht="15" hidden="false" customHeight="true" outlineLevel="0" collapsed="false">
      <c r="A72" s="5" t="s">
        <v>411</v>
      </c>
      <c r="B72" s="34" t="n">
        <v>2012.5</v>
      </c>
      <c r="C72" s="13" t="n">
        <v>11274.4</v>
      </c>
      <c r="D72" s="13" t="n">
        <v>13588.8</v>
      </c>
      <c r="E72" s="13" t="n">
        <v>11015.2</v>
      </c>
      <c r="F72" s="13" t="n">
        <v>6965.1</v>
      </c>
      <c r="G72" s="10" t="n">
        <f aca="false">E72-F72</f>
        <v>4050.1</v>
      </c>
      <c r="H72" s="13" t="n">
        <v>3279.1</v>
      </c>
      <c r="I72" s="10" t="n">
        <f aca="false">C72+D72+E72+H72</f>
        <v>39157.5</v>
      </c>
      <c r="J72" s="13" t="n">
        <v>40526.9</v>
      </c>
      <c r="K72" s="10" t="n">
        <f aca="false">J72-I72</f>
        <v>1369.40000000001</v>
      </c>
      <c r="L72" s="13" t="n">
        <v>16319.5</v>
      </c>
      <c r="M72" s="18" t="n">
        <f aca="false">C72/L72</f>
        <v>0.690854499218726</v>
      </c>
      <c r="N72" s="18" t="n">
        <f aca="false">D72/L72</f>
        <v>0.832672569625295</v>
      </c>
      <c r="O72" s="18" t="n">
        <f aca="false">E72/L72</f>
        <v>0.674971659670946</v>
      </c>
      <c r="P72" s="18" t="n">
        <f aca="false">H72/L72</f>
        <v>0.200931401084592</v>
      </c>
      <c r="Q72" s="13" t="n">
        <v>16066.2</v>
      </c>
      <c r="R72" s="18" t="n">
        <f aca="false">Q72/L72</f>
        <v>0.984478691136371</v>
      </c>
      <c r="S72" s="18" t="n">
        <f aca="false">(Q72+D72+E72+H72)/L72</f>
        <v>2.6930543215172</v>
      </c>
    </row>
    <row r="73" customFormat="false" ht="15" hidden="false" customHeight="true" outlineLevel="0" collapsed="false">
      <c r="A73" s="5" t="s">
        <v>412</v>
      </c>
      <c r="B73" s="34" t="n">
        <v>2012.75</v>
      </c>
      <c r="C73" s="13" t="n">
        <v>11586.6</v>
      </c>
      <c r="D73" s="13" t="n">
        <v>13553.7</v>
      </c>
      <c r="E73" s="13" t="n">
        <v>11218.9</v>
      </c>
      <c r="F73" s="13" t="n">
        <v>7126.4</v>
      </c>
      <c r="G73" s="10" t="n">
        <f aca="false">E73-F73</f>
        <v>4092.5</v>
      </c>
      <c r="H73" s="13" t="n">
        <v>3256.3</v>
      </c>
      <c r="I73" s="10" t="n">
        <f aca="false">C73+D73+E73+H73</f>
        <v>39615.5</v>
      </c>
      <c r="J73" s="13" t="n">
        <v>40876.7</v>
      </c>
      <c r="K73" s="10" t="n">
        <f aca="false">J73-I73</f>
        <v>1261.19999999999</v>
      </c>
      <c r="L73" s="13" t="n">
        <v>16420.4</v>
      </c>
      <c r="M73" s="18" t="n">
        <f aca="false">C73/L73</f>
        <v>0.705622274731432</v>
      </c>
      <c r="N73" s="18" t="n">
        <f aca="false">D73/L73</f>
        <v>0.825418382012618</v>
      </c>
      <c r="O73" s="18" t="n">
        <f aca="false">E73/L73</f>
        <v>0.683229397578622</v>
      </c>
      <c r="P73" s="18" t="n">
        <f aca="false">H73/L73</f>
        <v>0.198308201992643</v>
      </c>
      <c r="Q73" s="13" t="n">
        <v>16432.7</v>
      </c>
      <c r="R73" s="18" t="n">
        <f aca="false">Q73/L73</f>
        <v>1.0007490682322</v>
      </c>
      <c r="S73" s="18" t="n">
        <f aca="false">(Q73+D73+E73+H73)/L73</f>
        <v>2.70770504981608</v>
      </c>
    </row>
    <row r="74" customFormat="false" ht="15" hidden="false" customHeight="true" outlineLevel="0" collapsed="false">
      <c r="A74" s="5" t="s">
        <v>413</v>
      </c>
      <c r="B74" s="34" t="n">
        <v>2013</v>
      </c>
      <c r="C74" s="13" t="n">
        <v>11922.5</v>
      </c>
      <c r="D74" s="13" t="n">
        <v>13584.8</v>
      </c>
      <c r="E74" s="13" t="n">
        <v>11287</v>
      </c>
      <c r="F74" s="13" t="n">
        <v>7172.4</v>
      </c>
      <c r="G74" s="10" t="n">
        <f aca="false">E74-F74</f>
        <v>4114.6</v>
      </c>
      <c r="H74" s="13" t="n">
        <v>3259.9</v>
      </c>
      <c r="I74" s="10" t="n">
        <f aca="false">C74+D74+E74+H74</f>
        <v>40054.2</v>
      </c>
      <c r="J74" s="13" t="n">
        <v>41286.5</v>
      </c>
      <c r="K74" s="10" t="n">
        <f aca="false">J74-I74</f>
        <v>1232.3</v>
      </c>
      <c r="L74" s="13" t="n">
        <v>16648.2</v>
      </c>
      <c r="M74" s="18" t="n">
        <f aca="false">C74/L74</f>
        <v>0.716143486983578</v>
      </c>
      <c r="N74" s="18" t="n">
        <f aca="false">D74/L74</f>
        <v>0.815992119268149</v>
      </c>
      <c r="O74" s="18" t="n">
        <f aca="false">E74/L74</f>
        <v>0.677971192080826</v>
      </c>
      <c r="P74" s="18" t="n">
        <f aca="false">H74/L74</f>
        <v>0.195810958542065</v>
      </c>
      <c r="Q74" s="13" t="n">
        <v>16771.4</v>
      </c>
      <c r="R74" s="18" t="n">
        <f aca="false">Q74/L74</f>
        <v>1.00740019942096</v>
      </c>
      <c r="S74" s="18" t="n">
        <f aca="false">(Q74+D74+E74+H74)/L74</f>
        <v>2.697174469312</v>
      </c>
    </row>
    <row r="75" customFormat="false" ht="15" hidden="false" customHeight="true" outlineLevel="0" collapsed="false">
      <c r="A75" s="5" t="s">
        <v>414</v>
      </c>
      <c r="B75" s="34" t="n">
        <v>2013.25</v>
      </c>
      <c r="C75" s="13" t="n">
        <v>11906.6</v>
      </c>
      <c r="D75" s="13" t="n">
        <v>13598.7</v>
      </c>
      <c r="E75" s="13" t="n">
        <v>11450.7</v>
      </c>
      <c r="F75" s="13" t="n">
        <v>7309</v>
      </c>
      <c r="G75" s="10" t="n">
        <f aca="false">E75-F75</f>
        <v>4141.7</v>
      </c>
      <c r="H75" s="13" t="n">
        <v>3245.7</v>
      </c>
      <c r="I75" s="10" t="n">
        <f aca="false">C75+D75+E75+H75</f>
        <v>40201.7</v>
      </c>
      <c r="J75" s="13" t="n">
        <v>41555.1</v>
      </c>
      <c r="K75" s="10" t="n">
        <f aca="false">J75-I75</f>
        <v>1353.4</v>
      </c>
      <c r="L75" s="13" t="n">
        <v>16728.7</v>
      </c>
      <c r="M75" s="18" t="n">
        <f aca="false">C75/L75</f>
        <v>0.711746878119639</v>
      </c>
      <c r="N75" s="18" t="n">
        <f aca="false">D75/L75</f>
        <v>0.812896399600686</v>
      </c>
      <c r="O75" s="18" t="n">
        <f aca="false">E75/L75</f>
        <v>0.684494312170103</v>
      </c>
      <c r="P75" s="18" t="n">
        <f aca="false">H75/L75</f>
        <v>0.194019858088196</v>
      </c>
      <c r="Q75" s="13" t="n">
        <v>16738.3</v>
      </c>
      <c r="R75" s="18" t="n">
        <f aca="false">Q75/L75</f>
        <v>1.0005738640779</v>
      </c>
      <c r="S75" s="18" t="n">
        <f aca="false">(Q75+D75+E75+H75)/L75</f>
        <v>2.69198443393689</v>
      </c>
    </row>
    <row r="76" customFormat="false" ht="15" hidden="false" customHeight="true" outlineLevel="0" collapsed="false">
      <c r="A76" s="5" t="s">
        <v>415</v>
      </c>
      <c r="B76" s="34" t="n">
        <v>2013.5</v>
      </c>
      <c r="C76" s="13" t="n">
        <v>11981</v>
      </c>
      <c r="D76" s="13" t="n">
        <v>13608</v>
      </c>
      <c r="E76" s="13" t="n">
        <v>11648.1</v>
      </c>
      <c r="F76" s="13" t="n">
        <v>7480.4</v>
      </c>
      <c r="G76" s="10" t="n">
        <f aca="false">E76-F76</f>
        <v>4167.7</v>
      </c>
      <c r="H76" s="13" t="n">
        <v>3235.5</v>
      </c>
      <c r="I76" s="10" t="n">
        <f aca="false">C76+D76+E76+H76</f>
        <v>40472.6</v>
      </c>
      <c r="J76" s="13" t="n">
        <v>41906.4</v>
      </c>
      <c r="K76" s="10" t="n">
        <f aca="false">J76-I76</f>
        <v>1433.8</v>
      </c>
      <c r="L76" s="13" t="n">
        <v>16953.8</v>
      </c>
      <c r="M76" s="18" t="n">
        <f aca="false">C76/L76</f>
        <v>0.706685226910781</v>
      </c>
      <c r="N76" s="18" t="n">
        <f aca="false">D76/L76</f>
        <v>0.802651912845498</v>
      </c>
      <c r="O76" s="18" t="n">
        <f aca="false">E76/L76</f>
        <v>0.687049511024077</v>
      </c>
      <c r="P76" s="18" t="n">
        <f aca="false">H76/L76</f>
        <v>0.190842171076691</v>
      </c>
      <c r="Q76" s="13" t="n">
        <v>16738.2</v>
      </c>
      <c r="R76" s="18" t="n">
        <f aca="false">Q76/L76</f>
        <v>0.987283086977551</v>
      </c>
      <c r="S76" s="18" t="n">
        <f aca="false">(Q76+D76+E76+H76)/L76</f>
        <v>2.66782668192382</v>
      </c>
    </row>
    <row r="77" customFormat="false" ht="15" hidden="false" customHeight="true" outlineLevel="0" collapsed="false">
      <c r="A77" s="5" t="s">
        <v>416</v>
      </c>
      <c r="B77" s="34" t="n">
        <v>2013.75</v>
      </c>
      <c r="C77" s="13" t="n">
        <v>12355.2</v>
      </c>
      <c r="D77" s="13" t="n">
        <v>13766.5</v>
      </c>
      <c r="E77" s="13" t="n">
        <v>11782</v>
      </c>
      <c r="F77" s="13" t="n">
        <v>7585</v>
      </c>
      <c r="G77" s="10" t="n">
        <f aca="false">E77-F77</f>
        <v>4197</v>
      </c>
      <c r="H77" s="13" t="n">
        <v>3266.7</v>
      </c>
      <c r="I77" s="10" t="n">
        <f aca="false">C77+D77+E77+H77</f>
        <v>41170.4</v>
      </c>
      <c r="J77" s="13" t="n">
        <v>42520.4</v>
      </c>
      <c r="K77" s="10" t="n">
        <f aca="false">J77-I77</f>
        <v>1350.00000000001</v>
      </c>
      <c r="L77" s="13" t="n">
        <v>17192</v>
      </c>
      <c r="M77" s="18" t="n">
        <f aca="false">C77/L77</f>
        <v>0.718659841786878</v>
      </c>
      <c r="N77" s="18" t="n">
        <f aca="false">D77/L77</f>
        <v>0.800750348999535</v>
      </c>
      <c r="O77" s="18" t="n">
        <f aca="false">E77/L77</f>
        <v>0.685318752908329</v>
      </c>
      <c r="P77" s="18" t="n">
        <f aca="false">H77/L77</f>
        <v>0.190012796649604</v>
      </c>
      <c r="Q77" s="13" t="n">
        <v>17156.1</v>
      </c>
      <c r="R77" s="18" t="n">
        <f aca="false">Q77/L77</f>
        <v>0.997911819450907</v>
      </c>
      <c r="S77" s="18" t="n">
        <f aca="false">(Q77+D77+E77+H77)/L77</f>
        <v>2.67399371800838</v>
      </c>
    </row>
    <row r="78" customFormat="false" ht="15" hidden="false" customHeight="true" outlineLevel="0" collapsed="false">
      <c r="A78" s="5" t="s">
        <v>417</v>
      </c>
      <c r="B78" s="34" t="n">
        <v>2014</v>
      </c>
      <c r="C78" s="13" t="n">
        <v>12643.2</v>
      </c>
      <c r="D78" s="13" t="n">
        <v>13829.4</v>
      </c>
      <c r="E78" s="13" t="n">
        <v>11976.3</v>
      </c>
      <c r="F78" s="13" t="n">
        <v>7711.9</v>
      </c>
      <c r="G78" s="10" t="n">
        <f aca="false">E78-F78</f>
        <v>4264.4</v>
      </c>
      <c r="H78" s="13" t="n">
        <v>3268.2</v>
      </c>
      <c r="I78" s="10" t="n">
        <f aca="false">C78+D78+E78+H78</f>
        <v>41717.1</v>
      </c>
      <c r="J78" s="13" t="n">
        <v>42997.5</v>
      </c>
      <c r="K78" s="10" t="n">
        <f aca="false">J78-I78</f>
        <v>1280.40000000001</v>
      </c>
      <c r="L78" s="13" t="n">
        <v>17197.7</v>
      </c>
      <c r="M78" s="18" t="n">
        <f aca="false">C78/L78</f>
        <v>0.7351680748007</v>
      </c>
      <c r="N78" s="18" t="n">
        <f aca="false">D78/L78</f>
        <v>0.804142414392622</v>
      </c>
      <c r="O78" s="18" t="n">
        <f aca="false">E78/L78</f>
        <v>0.696389633497503</v>
      </c>
      <c r="P78" s="18" t="n">
        <f aca="false">H78/L78</f>
        <v>0.190037039836722</v>
      </c>
      <c r="Q78" s="13" t="n">
        <v>17601.2</v>
      </c>
      <c r="R78" s="18" t="n">
        <f aca="false">Q78/L78</f>
        <v>1.02346243974485</v>
      </c>
      <c r="S78" s="18" t="n">
        <f aca="false">(Q78+D78+E78+H78)/L78</f>
        <v>2.7140315274717</v>
      </c>
    </row>
    <row r="79" customFormat="false" ht="15" hidden="false" customHeight="true" outlineLevel="0" collapsed="false">
      <c r="A79" s="5" t="s">
        <v>418</v>
      </c>
      <c r="B79" s="34" t="n">
        <v>2014.25</v>
      </c>
      <c r="C79" s="13" t="n">
        <v>12572</v>
      </c>
      <c r="D79" s="13" t="n">
        <v>13882.8</v>
      </c>
      <c r="E79" s="13" t="n">
        <v>12160.6</v>
      </c>
      <c r="F79" s="13" t="n">
        <v>7827.6</v>
      </c>
      <c r="G79" s="10" t="n">
        <f aca="false">E79-F79</f>
        <v>4333</v>
      </c>
      <c r="H79" s="13" t="n">
        <v>3256.2</v>
      </c>
      <c r="I79" s="10" t="n">
        <f aca="false">C79+D79+E79+H79</f>
        <v>41871.6</v>
      </c>
      <c r="J79" s="13" t="n">
        <v>43389.8</v>
      </c>
      <c r="K79" s="10" t="n">
        <f aca="false">J79-I79</f>
        <v>1518.2</v>
      </c>
      <c r="L79" s="13" t="n">
        <v>17518.5</v>
      </c>
      <c r="M79" s="18" t="n">
        <f aca="false">C79/L79</f>
        <v>0.717641350572252</v>
      </c>
      <c r="N79" s="18" t="n">
        <f aca="false">D79/L79</f>
        <v>0.792465108314068</v>
      </c>
      <c r="O79" s="18" t="n">
        <f aca="false">E79/L79</f>
        <v>0.694157604817764</v>
      </c>
      <c r="P79" s="18" t="n">
        <f aca="false">H79/L79</f>
        <v>0.185872078088877</v>
      </c>
      <c r="Q79" s="13" t="n">
        <v>17632.6</v>
      </c>
      <c r="R79" s="18" t="n">
        <f aca="false">Q79/L79</f>
        <v>1.00651311470731</v>
      </c>
      <c r="S79" s="18" t="n">
        <f aca="false">(Q79+D79+E79+H79)/L79</f>
        <v>2.67900790592802</v>
      </c>
    </row>
    <row r="80" customFormat="false" ht="15" hidden="false" customHeight="true" outlineLevel="0" collapsed="false">
      <c r="A80" s="5" t="s">
        <v>419</v>
      </c>
      <c r="B80" s="34" t="n">
        <v>2014.5</v>
      </c>
      <c r="C80" s="13" t="n">
        <v>12784.8</v>
      </c>
      <c r="D80" s="13" t="n">
        <v>13824.3</v>
      </c>
      <c r="E80" s="13" t="n">
        <v>12359.9</v>
      </c>
      <c r="F80" s="13" t="n">
        <v>7956.5</v>
      </c>
      <c r="G80" s="10" t="n">
        <f aca="false">E80-F80</f>
        <v>4403.4</v>
      </c>
      <c r="H80" s="13" t="n">
        <v>3200.8</v>
      </c>
      <c r="I80" s="10" t="n">
        <f aca="false">C80+D80+E80+H80</f>
        <v>42169.8</v>
      </c>
      <c r="J80" s="13" t="n">
        <v>43696.4</v>
      </c>
      <c r="K80" s="10" t="n">
        <f aca="false">J80-I80</f>
        <v>1526.6</v>
      </c>
      <c r="L80" s="13" t="n">
        <v>17804.2</v>
      </c>
      <c r="M80" s="18" t="n">
        <f aca="false">C80/L80</f>
        <v>0.718077756933757</v>
      </c>
      <c r="N80" s="18" t="n">
        <f aca="false">D80/L80</f>
        <v>0.776462857078667</v>
      </c>
      <c r="O80" s="18" t="n">
        <f aca="false">E80/L80</f>
        <v>0.694212601520989</v>
      </c>
      <c r="P80" s="18" t="n">
        <f aca="false">H80/L80</f>
        <v>0.179777805236967</v>
      </c>
      <c r="Q80" s="13" t="n">
        <v>17824.1</v>
      </c>
      <c r="R80" s="18" t="n">
        <f aca="false">Q80/L80</f>
        <v>1.00111771379787</v>
      </c>
      <c r="S80" s="18" t="n">
        <f aca="false">(Q80+D80+E80+H80)/L80</f>
        <v>2.65157097763449</v>
      </c>
    </row>
    <row r="81" customFormat="false" ht="15" hidden="false" customHeight="true" outlineLevel="0" collapsed="false">
      <c r="A81" s="5" t="s">
        <v>420</v>
      </c>
      <c r="B81" s="34" t="n">
        <v>2014.75</v>
      </c>
      <c r="C81" s="13" t="n">
        <v>13023.8</v>
      </c>
      <c r="D81" s="13" t="n">
        <v>13866.7</v>
      </c>
      <c r="E81" s="13" t="n">
        <v>12610</v>
      </c>
      <c r="F81" s="13" t="n">
        <v>8131.2</v>
      </c>
      <c r="G81" s="10" t="n">
        <f aca="false">E81-F81</f>
        <v>4478.8</v>
      </c>
      <c r="H81" s="13" t="n">
        <v>3213.2</v>
      </c>
      <c r="I81" s="10" t="n">
        <f aca="false">C81+D81+E81+H81</f>
        <v>42713.7</v>
      </c>
      <c r="J81" s="13" t="n">
        <v>44130.9</v>
      </c>
      <c r="K81" s="10" t="n">
        <f aca="false">J81-I81</f>
        <v>1417.2</v>
      </c>
      <c r="L81" s="13" t="n">
        <v>17912.1</v>
      </c>
      <c r="M81" s="18" t="n">
        <f aca="false">C81/L81</f>
        <v>0.727095092144416</v>
      </c>
      <c r="N81" s="18" t="n">
        <f aca="false">D81/L81</f>
        <v>0.774152667749734</v>
      </c>
      <c r="O81" s="18" t="n">
        <f aca="false">E81/L81</f>
        <v>0.703993389943111</v>
      </c>
      <c r="P81" s="18" t="n">
        <f aca="false">H81/L81</f>
        <v>0.179387118205012</v>
      </c>
      <c r="Q81" s="13" t="n">
        <v>18141.4</v>
      </c>
      <c r="R81" s="18" t="n">
        <f aca="false">Q81/L81</f>
        <v>1.01280140240396</v>
      </c>
      <c r="S81" s="18" t="n">
        <f aca="false">(Q81+D81+E81+H81)/L81</f>
        <v>2.67033457830182</v>
      </c>
    </row>
    <row r="82" customFormat="false" ht="15" hidden="false" customHeight="true" outlineLevel="0" collapsed="false">
      <c r="A82" s="5" t="s">
        <v>421</v>
      </c>
      <c r="B82" s="34" t="n">
        <v>2015</v>
      </c>
      <c r="C82" s="13" t="n">
        <v>13090.2</v>
      </c>
      <c r="D82" s="13" t="n">
        <v>13917.4</v>
      </c>
      <c r="E82" s="13" t="n">
        <v>12833.6</v>
      </c>
      <c r="F82" s="13" t="n">
        <v>8298.5</v>
      </c>
      <c r="G82" s="10" t="n">
        <f aca="false">E82-F82</f>
        <v>4535.1</v>
      </c>
      <c r="H82" s="13" t="n">
        <v>3232.2</v>
      </c>
      <c r="I82" s="10" t="n">
        <f aca="false">C82+D82+E82+H82</f>
        <v>43073.4</v>
      </c>
      <c r="J82" s="13" t="n">
        <v>44478.3</v>
      </c>
      <c r="K82" s="10" t="n">
        <f aca="false">J82-I82</f>
        <v>1404.90000000001</v>
      </c>
      <c r="L82" s="13" t="n">
        <v>18063.5</v>
      </c>
      <c r="M82" s="18" t="n">
        <f aca="false">C82/L82</f>
        <v>0.724676834500512</v>
      </c>
      <c r="N82" s="18" t="n">
        <f aca="false">D82/L82</f>
        <v>0.770470838984693</v>
      </c>
      <c r="O82" s="18" t="n">
        <f aca="false">E82/L82</f>
        <v>0.710471392587262</v>
      </c>
      <c r="P82" s="18" t="n">
        <f aca="false">H82/L82</f>
        <v>0.178935422260359</v>
      </c>
      <c r="Q82" s="13" t="n">
        <v>18152.1</v>
      </c>
      <c r="R82" s="18" t="n">
        <f aca="false">Q82/L82</f>
        <v>1.00490491875882</v>
      </c>
      <c r="S82" s="18" t="n">
        <f aca="false">(Q82+D82+E82+H82)/L82</f>
        <v>2.66478257259114</v>
      </c>
    </row>
    <row r="83" customFormat="false" ht="15" hidden="false" customHeight="true" outlineLevel="0" collapsed="false">
      <c r="A83" s="5" t="s">
        <v>422</v>
      </c>
      <c r="B83" s="34" t="n">
        <v>2015.25</v>
      </c>
      <c r="C83" s="13" t="n">
        <v>13075</v>
      </c>
      <c r="D83" s="13" t="n">
        <v>14026.6</v>
      </c>
      <c r="E83" s="13" t="n">
        <v>13114.3</v>
      </c>
      <c r="F83" s="13" t="n">
        <v>8516</v>
      </c>
      <c r="G83" s="10" t="n">
        <f aca="false">E83-F83</f>
        <v>4598.3</v>
      </c>
      <c r="H83" s="13" t="n">
        <v>3241.3</v>
      </c>
      <c r="I83" s="10" t="n">
        <f aca="false">C83+D83+E83+H83</f>
        <v>43457.2</v>
      </c>
      <c r="J83" s="13" t="n">
        <v>45087.5</v>
      </c>
      <c r="K83" s="10" t="n">
        <f aca="false">J83-I83</f>
        <v>1630.3</v>
      </c>
      <c r="L83" s="13" t="n">
        <v>18279.8</v>
      </c>
      <c r="M83" s="18" t="n">
        <f aca="false">C83/L83</f>
        <v>0.715270407772514</v>
      </c>
      <c r="N83" s="18" t="n">
        <f aca="false">D83/L83</f>
        <v>0.767327870107988</v>
      </c>
      <c r="O83" s="18" t="n">
        <f aca="false">E83/L83</f>
        <v>0.71742032188536</v>
      </c>
      <c r="P83" s="18" t="n">
        <f aca="false">H83/L83</f>
        <v>0.177315944375759</v>
      </c>
      <c r="Q83" s="13" t="n">
        <v>18152</v>
      </c>
      <c r="R83" s="18" t="n">
        <f aca="false">Q83/L83</f>
        <v>0.993008676243723</v>
      </c>
      <c r="S83" s="18" t="n">
        <f aca="false">(Q83+D83+E83+H83)/L83</f>
        <v>2.65507281261283</v>
      </c>
    </row>
    <row r="84" customFormat="false" ht="15" hidden="false" customHeight="true" outlineLevel="0" collapsed="false">
      <c r="A84" s="5" t="s">
        <v>423</v>
      </c>
      <c r="B84" s="34" t="n">
        <v>2015.5</v>
      </c>
      <c r="C84" s="13" t="n">
        <v>13123.8</v>
      </c>
      <c r="D84" s="13" t="n">
        <v>14098.2</v>
      </c>
      <c r="E84" s="13" t="n">
        <v>13302.7</v>
      </c>
      <c r="F84" s="13" t="n">
        <v>8639.6</v>
      </c>
      <c r="G84" s="10" t="n">
        <f aca="false">E84-F84</f>
        <v>4663.1</v>
      </c>
      <c r="H84" s="13" t="n">
        <v>3251.8</v>
      </c>
      <c r="I84" s="10" t="n">
        <f aca="false">C84+D84+E84+H84</f>
        <v>43776.5</v>
      </c>
      <c r="J84" s="13" t="n">
        <v>45433.6</v>
      </c>
      <c r="K84" s="10" t="n">
        <f aca="false">J84-I84</f>
        <v>1657.1</v>
      </c>
      <c r="L84" s="13" t="n">
        <v>18401.6</v>
      </c>
      <c r="M84" s="18" t="n">
        <f aca="false">C84/L84</f>
        <v>0.713187983653595</v>
      </c>
      <c r="N84" s="18" t="n">
        <f aca="false">D84/L84</f>
        <v>0.766139900878185</v>
      </c>
      <c r="O84" s="18" t="n">
        <f aca="false">E84/L84</f>
        <v>0.722909964350926</v>
      </c>
      <c r="P84" s="18" t="n">
        <f aca="false">H84/L84</f>
        <v>0.17671289453091</v>
      </c>
      <c r="Q84" s="13" t="n">
        <v>18150.6</v>
      </c>
      <c r="R84" s="18" t="n">
        <f aca="false">Q84/L84</f>
        <v>0.986359881749413</v>
      </c>
      <c r="S84" s="18" t="n">
        <f aca="false">(Q84+D84+E84+H84)/L84</f>
        <v>2.65212264150943</v>
      </c>
    </row>
    <row r="85" customFormat="false" ht="15" hidden="false" customHeight="true" outlineLevel="0" collapsed="false">
      <c r="A85" s="5" t="s">
        <v>424</v>
      </c>
      <c r="B85" s="34" t="n">
        <v>2015.75</v>
      </c>
      <c r="C85" s="13" t="n">
        <v>13699.9</v>
      </c>
      <c r="D85" s="13" t="n">
        <v>14078.2</v>
      </c>
      <c r="E85" s="13" t="n">
        <v>13463.8</v>
      </c>
      <c r="F85" s="13" t="n">
        <v>8738.4</v>
      </c>
      <c r="G85" s="10" t="n">
        <f aca="false">E85-F85</f>
        <v>4725.4</v>
      </c>
      <c r="H85" s="13" t="n">
        <v>3248</v>
      </c>
      <c r="I85" s="10" t="n">
        <f aca="false">C85+D85+E85+H85</f>
        <v>44489.9</v>
      </c>
      <c r="J85" s="13" t="n">
        <v>45955.6</v>
      </c>
      <c r="K85" s="10" t="n">
        <f aca="false">J85-I85</f>
        <v>1465.7</v>
      </c>
      <c r="L85" s="13" t="n">
        <v>18435.1</v>
      </c>
      <c r="M85" s="18" t="n">
        <f aca="false">C85/L85</f>
        <v>0.743142158165673</v>
      </c>
      <c r="N85" s="18" t="n">
        <f aca="false">D85/L85</f>
        <v>0.763662795428286</v>
      </c>
      <c r="O85" s="18" t="n">
        <f aca="false">E85/L85</f>
        <v>0.730335067344359</v>
      </c>
      <c r="P85" s="18" t="n">
        <f aca="false">H85/L85</f>
        <v>0.176185645860343</v>
      </c>
      <c r="Q85" s="13" t="n">
        <v>18922.2</v>
      </c>
      <c r="R85" s="18" t="n">
        <f aca="false">Q85/L85</f>
        <v>1.02642242244414</v>
      </c>
      <c r="S85" s="18" t="n">
        <f aca="false">(Q85+D85+E85+H85)/L85</f>
        <v>2.69660593107713</v>
      </c>
    </row>
    <row r="86" customFormat="false" ht="15" hidden="false" customHeight="true" outlineLevel="0" collapsed="false">
      <c r="A86" s="5" t="s">
        <v>425</v>
      </c>
      <c r="B86" s="34" t="n">
        <v>2016</v>
      </c>
      <c r="C86" s="13" t="n">
        <v>13929.8</v>
      </c>
      <c r="D86" s="13" t="n">
        <v>14178.7</v>
      </c>
      <c r="E86" s="13" t="n">
        <v>13752.7</v>
      </c>
      <c r="F86" s="13" t="n">
        <v>8933.9</v>
      </c>
      <c r="G86" s="10" t="n">
        <f aca="false">E86-F86</f>
        <v>4818.8</v>
      </c>
      <c r="H86" s="13" t="n">
        <v>3260.3</v>
      </c>
      <c r="I86" s="10" t="n">
        <f aca="false">C86+D86+E86+H86</f>
        <v>45121.5</v>
      </c>
      <c r="J86" s="13" t="n">
        <v>46575.1</v>
      </c>
      <c r="K86" s="10" t="n">
        <f aca="false">J86-I86</f>
        <v>1453.6</v>
      </c>
      <c r="L86" s="13" t="n">
        <v>18525.9</v>
      </c>
      <c r="M86" s="18" t="n">
        <f aca="false">C86/L86</f>
        <v>0.751909488877733</v>
      </c>
      <c r="N86" s="18" t="n">
        <f aca="false">D86/L86</f>
        <v>0.765344733589191</v>
      </c>
      <c r="O86" s="18" t="n">
        <f aca="false">E86/L86</f>
        <v>0.742349899330127</v>
      </c>
      <c r="P86" s="18" t="n">
        <f aca="false">H86/L86</f>
        <v>0.175986051959689</v>
      </c>
      <c r="Q86" s="13" t="n">
        <v>19264.9</v>
      </c>
      <c r="R86" s="18" t="n">
        <f aca="false">Q86/L86</f>
        <v>1.03989009980622</v>
      </c>
      <c r="S86" s="18" t="n">
        <f aca="false">(Q86+D86+E86+H86)/L86</f>
        <v>2.72357078468522</v>
      </c>
    </row>
    <row r="87" customFormat="false" ht="15" hidden="false" customHeight="true" outlineLevel="0" collapsed="false">
      <c r="A87" s="5" t="s">
        <v>426</v>
      </c>
      <c r="B87" s="34" t="n">
        <v>2016.25</v>
      </c>
      <c r="C87" s="13" t="n">
        <v>13937.3</v>
      </c>
      <c r="D87" s="13" t="n">
        <v>14288.9</v>
      </c>
      <c r="E87" s="13" t="n">
        <v>13900.8</v>
      </c>
      <c r="F87" s="13" t="n">
        <v>8984.7</v>
      </c>
      <c r="G87" s="10" t="n">
        <f aca="false">E87-F87</f>
        <v>4916.1</v>
      </c>
      <c r="H87" s="13" t="n">
        <v>3280.8</v>
      </c>
      <c r="I87" s="10" t="n">
        <f aca="false">C87+D87+E87+H87</f>
        <v>45407.8</v>
      </c>
      <c r="J87" s="13" t="n">
        <v>47094.5</v>
      </c>
      <c r="K87" s="10" t="n">
        <f aca="false">J87-I87</f>
        <v>1686.7</v>
      </c>
      <c r="L87" s="13" t="n">
        <v>18711.7</v>
      </c>
      <c r="M87" s="18" t="n">
        <f aca="false">C87/L87</f>
        <v>0.744844134952997</v>
      </c>
      <c r="N87" s="18" t="n">
        <f aca="false">D87/L87</f>
        <v>0.763634517440959</v>
      </c>
      <c r="O87" s="18" t="n">
        <f aca="false">E87/L87</f>
        <v>0.742893483756153</v>
      </c>
      <c r="P87" s="18" t="n">
        <f aca="false">H87/L87</f>
        <v>0.175334149222144</v>
      </c>
      <c r="Q87" s="13" t="n">
        <v>19381.6</v>
      </c>
      <c r="R87" s="18" t="n">
        <f aca="false">Q87/L87</f>
        <v>1.03580112977442</v>
      </c>
      <c r="S87" s="18" t="n">
        <f aca="false">(Q87+D87+E87+H87)/L87</f>
        <v>2.71766328019368</v>
      </c>
    </row>
    <row r="88" customFormat="false" ht="15" hidden="false" customHeight="true" outlineLevel="0" collapsed="false">
      <c r="A88" s="5" t="s">
        <v>427</v>
      </c>
      <c r="B88" s="34" t="n">
        <v>2016.5</v>
      </c>
      <c r="C88" s="13" t="n">
        <v>14177.8</v>
      </c>
      <c r="D88" s="13" t="n">
        <v>14411.2</v>
      </c>
      <c r="E88" s="13" t="n">
        <v>14080.7</v>
      </c>
      <c r="F88" s="13" t="n">
        <v>9069.3</v>
      </c>
      <c r="G88" s="10" t="n">
        <f aca="false">E88-F88</f>
        <v>5011.4</v>
      </c>
      <c r="H88" s="13" t="n">
        <v>3291.8</v>
      </c>
      <c r="I88" s="10" t="n">
        <f aca="false">C88+D88+E88+H88</f>
        <v>45961.5</v>
      </c>
      <c r="J88" s="13" t="n">
        <v>47633.7</v>
      </c>
      <c r="K88" s="10" t="n">
        <f aca="false">J88-I88</f>
        <v>1672.2</v>
      </c>
      <c r="L88" s="13" t="n">
        <v>18892.6</v>
      </c>
      <c r="M88" s="18" t="n">
        <f aca="false">C88/L88</f>
        <v>0.750441971989033</v>
      </c>
      <c r="N88" s="18" t="n">
        <f aca="false">D88/L88</f>
        <v>0.762796015371098</v>
      </c>
      <c r="O88" s="18" t="n">
        <f aca="false">E88/L88</f>
        <v>0.745302393529742</v>
      </c>
      <c r="P88" s="18" t="n">
        <f aca="false">H88/L88</f>
        <v>0.174237532155447</v>
      </c>
      <c r="Q88" s="13" t="n">
        <v>19573.4</v>
      </c>
      <c r="R88" s="18" t="n">
        <f aca="false">Q88/L88</f>
        <v>1.03603527306988</v>
      </c>
      <c r="S88" s="18" t="n">
        <f aca="false">(Q88+D88+E88+H88)/L88</f>
        <v>2.71837121412617</v>
      </c>
    </row>
    <row r="89" customFormat="false" ht="15" hidden="false" customHeight="true" outlineLevel="0" collapsed="false">
      <c r="A89" s="5" t="s">
        <v>428</v>
      </c>
      <c r="B89" s="34" t="n">
        <v>2016.75</v>
      </c>
      <c r="C89" s="13" t="n">
        <v>14439.3</v>
      </c>
      <c r="D89" s="13" t="n">
        <v>14487.6</v>
      </c>
      <c r="E89" s="13" t="n">
        <v>14142.4</v>
      </c>
      <c r="F89" s="13" t="n">
        <v>9030.6</v>
      </c>
      <c r="G89" s="10" t="n">
        <f aca="false">E89-F89</f>
        <v>5111.8</v>
      </c>
      <c r="H89" s="13" t="n">
        <v>3293.5</v>
      </c>
      <c r="I89" s="10" t="n">
        <f aca="false">C89+D89+E89+H89</f>
        <v>46362.8</v>
      </c>
      <c r="J89" s="13" t="n">
        <v>47931.9</v>
      </c>
      <c r="K89" s="10" t="n">
        <f aca="false">J89-I89</f>
        <v>1569.1</v>
      </c>
      <c r="L89" s="13" t="n">
        <v>19089.4</v>
      </c>
      <c r="M89" s="18" t="n">
        <f aca="false">C89/L89</f>
        <v>0.756404077655662</v>
      </c>
      <c r="N89" s="18" t="n">
        <f aca="false">D89/L89</f>
        <v>0.758934277661948</v>
      </c>
      <c r="O89" s="18" t="n">
        <f aca="false">E89/L89</f>
        <v>0.74085094345553</v>
      </c>
      <c r="P89" s="18" t="n">
        <f aca="false">H89/L89</f>
        <v>0.172530304776473</v>
      </c>
      <c r="Q89" s="13" t="n">
        <v>19976.8</v>
      </c>
      <c r="R89" s="18" t="n">
        <f aca="false">Q89/L89</f>
        <v>1.04648653179251</v>
      </c>
      <c r="S89" s="18" t="n">
        <f aca="false">(Q89+D89+E89+H89)/L89</f>
        <v>2.71880205768646</v>
      </c>
    </row>
    <row r="90" customFormat="false" ht="15" hidden="false" customHeight="true" outlineLevel="0" collapsed="false">
      <c r="A90" s="5" t="s">
        <v>429</v>
      </c>
      <c r="B90" s="34" t="n">
        <v>2017</v>
      </c>
      <c r="C90" s="13" t="n">
        <v>14374.5</v>
      </c>
      <c r="D90" s="13" t="n">
        <v>14626.7</v>
      </c>
      <c r="E90" s="13" t="n">
        <v>14421.9</v>
      </c>
      <c r="F90" s="13" t="n">
        <v>9196.5</v>
      </c>
      <c r="G90" s="10" t="n">
        <f aca="false">E90-F90</f>
        <v>5225.4</v>
      </c>
      <c r="H90" s="13" t="n">
        <v>3279.2</v>
      </c>
      <c r="I90" s="10" t="n">
        <f aca="false">C90+D90+E90+H90</f>
        <v>46702.3</v>
      </c>
      <c r="J90" s="13" t="n">
        <v>48309.7</v>
      </c>
      <c r="K90" s="10" t="n">
        <f aca="false">J90-I90</f>
        <v>1607.4</v>
      </c>
      <c r="L90" s="13" t="n">
        <v>19280.1</v>
      </c>
      <c r="M90" s="18" t="n">
        <f aca="false">C90/L90</f>
        <v>0.745561485676942</v>
      </c>
      <c r="N90" s="18" t="n">
        <f aca="false">D90/L90</f>
        <v>0.758642330693306</v>
      </c>
      <c r="O90" s="18" t="n">
        <f aca="false">E90/L90</f>
        <v>0.748019979149486</v>
      </c>
      <c r="P90" s="18" t="n">
        <f aca="false">H90/L90</f>
        <v>0.170082105383271</v>
      </c>
      <c r="Q90" s="13" t="n">
        <v>19846.4</v>
      </c>
      <c r="R90" s="18" t="n">
        <f aca="false">Q90/L90</f>
        <v>1.02937225429329</v>
      </c>
      <c r="S90" s="18" t="n">
        <f aca="false">(Q90+D90+E90+H90)/L90</f>
        <v>2.70611666951935</v>
      </c>
    </row>
    <row r="91" customFormat="false" ht="15" hidden="false" customHeight="true" outlineLevel="0" collapsed="false">
      <c r="A91" s="5" t="s">
        <v>430</v>
      </c>
      <c r="B91" s="34" t="n">
        <v>2017.25</v>
      </c>
      <c r="C91" s="13" t="n">
        <v>14370.9</v>
      </c>
      <c r="D91" s="13" t="n">
        <v>14762.4</v>
      </c>
      <c r="E91" s="13" t="n">
        <v>14670.2</v>
      </c>
      <c r="F91" s="13" t="n">
        <v>9329.8</v>
      </c>
      <c r="G91" s="10" t="n">
        <f aca="false">E91-F91</f>
        <v>5340.4</v>
      </c>
      <c r="H91" s="13" t="n">
        <v>3279.1</v>
      </c>
      <c r="I91" s="10" t="n">
        <f aca="false">C91+D91+E91+H91</f>
        <v>47082.6</v>
      </c>
      <c r="J91" s="13" t="n">
        <v>48900.6</v>
      </c>
      <c r="K91" s="10" t="n">
        <f aca="false">J91-I91</f>
        <v>1818</v>
      </c>
      <c r="L91" s="13" t="n">
        <v>19438.6</v>
      </c>
      <c r="M91" s="18" t="n">
        <f aca="false">C91/L91</f>
        <v>0.739297068718941</v>
      </c>
      <c r="N91" s="18" t="n">
        <f aca="false">D91/L91</f>
        <v>0.759437408043789</v>
      </c>
      <c r="O91" s="18" t="n">
        <f aca="false">E91/L91</f>
        <v>0.754694268105728</v>
      </c>
      <c r="P91" s="18" t="n">
        <f aca="false">H91/L91</f>
        <v>0.168690132005391</v>
      </c>
      <c r="Q91" s="13" t="n">
        <v>19844.6</v>
      </c>
      <c r="R91" s="18" t="n">
        <f aca="false">Q91/L91</f>
        <v>1.02088627781836</v>
      </c>
      <c r="S91" s="18" t="n">
        <f aca="false">(Q91+D91+E91+H91)/L91</f>
        <v>2.70370808597327</v>
      </c>
    </row>
    <row r="92" customFormat="false" ht="15" hidden="false" customHeight="true" outlineLevel="0" collapsed="false">
      <c r="A92" s="5" t="s">
        <v>431</v>
      </c>
      <c r="B92" s="34" t="n">
        <v>2017.5</v>
      </c>
      <c r="C92" s="13" t="n">
        <v>14681.8</v>
      </c>
      <c r="D92" s="13" t="n">
        <v>14867.2</v>
      </c>
      <c r="E92" s="13" t="n">
        <v>14875.5</v>
      </c>
      <c r="F92" s="13" t="n">
        <v>9419.9</v>
      </c>
      <c r="G92" s="10" t="n">
        <f aca="false">E92-F92</f>
        <v>5455.6</v>
      </c>
      <c r="H92" s="13" t="n">
        <v>3277.5</v>
      </c>
      <c r="I92" s="10" t="n">
        <f aca="false">C92+D92+E92+H92</f>
        <v>47702</v>
      </c>
      <c r="J92" s="13" t="n">
        <v>49462</v>
      </c>
      <c r="K92" s="10" t="n">
        <f aca="false">J92-I92</f>
        <v>1760</v>
      </c>
      <c r="L92" s="13" t="n">
        <v>19692.6</v>
      </c>
      <c r="M92" s="18" t="n">
        <f aca="false">C92/L92</f>
        <v>0.745549089505703</v>
      </c>
      <c r="N92" s="18" t="n">
        <f aca="false">D92/L92</f>
        <v>0.75496379350619</v>
      </c>
      <c r="O92" s="18" t="n">
        <f aca="false">E92/L92</f>
        <v>0.755385271624874</v>
      </c>
      <c r="P92" s="18" t="n">
        <f aca="false">H92/L92</f>
        <v>0.166433076384022</v>
      </c>
      <c r="Q92" s="13" t="n">
        <v>20244.9</v>
      </c>
      <c r="R92" s="18" t="n">
        <f aca="false">Q92/L92</f>
        <v>1.02804606806618</v>
      </c>
      <c r="S92" s="18" t="n">
        <f aca="false">(Q92+D92+E92+H92)/L92</f>
        <v>2.70482820958126</v>
      </c>
    </row>
    <row r="93" customFormat="false" ht="15" hidden="false" customHeight="true" outlineLevel="0" collapsed="false">
      <c r="A93" s="5" t="s">
        <v>432</v>
      </c>
      <c r="B93" s="34" t="n">
        <v>2017.75</v>
      </c>
      <c r="C93" s="13" t="n">
        <v>14823.1</v>
      </c>
      <c r="D93" s="13" t="n">
        <v>15033.3</v>
      </c>
      <c r="E93" s="13" t="n">
        <v>15156.4</v>
      </c>
      <c r="F93" s="13" t="n">
        <v>9582.3</v>
      </c>
      <c r="G93" s="10" t="n">
        <f aca="false">E93-F93</f>
        <v>5574.1</v>
      </c>
      <c r="H93" s="13" t="n">
        <v>3310.1</v>
      </c>
      <c r="I93" s="10" t="n">
        <f aca="false">C93+D93+E93+H93</f>
        <v>48322.9</v>
      </c>
      <c r="J93" s="13" t="n">
        <v>50106.7</v>
      </c>
      <c r="K93" s="10" t="n">
        <f aca="false">J93-I93</f>
        <v>1783.8</v>
      </c>
      <c r="L93" s="13" t="n">
        <v>20037.1</v>
      </c>
      <c r="M93" s="18" t="n">
        <f aca="false">C93/L93</f>
        <v>0.739782703085776</v>
      </c>
      <c r="N93" s="18" t="n">
        <f aca="false">D93/L93</f>
        <v>0.750273243133987</v>
      </c>
      <c r="O93" s="18" t="n">
        <f aca="false">E93/L93</f>
        <v>0.75641684674928</v>
      </c>
      <c r="P93" s="18" t="n">
        <f aca="false">H93/L93</f>
        <v>0.165198556677364</v>
      </c>
      <c r="Q93" s="13" t="n">
        <v>20492.7</v>
      </c>
      <c r="R93" s="18" t="n">
        <f aca="false">Q93/L93</f>
        <v>1.02273782134141</v>
      </c>
      <c r="S93" s="18" t="n">
        <f aca="false">(Q93+D93+E93+H93)/L93</f>
        <v>2.69462646790204</v>
      </c>
    </row>
    <row r="94" customFormat="false" ht="15" hidden="false" customHeight="true" outlineLevel="0" collapsed="false">
      <c r="A94" s="5" t="s">
        <v>433</v>
      </c>
      <c r="B94" s="34" t="n">
        <v>2018</v>
      </c>
      <c r="C94" s="13" t="n">
        <v>15436.8</v>
      </c>
      <c r="D94" s="13" t="n">
        <v>15164.7</v>
      </c>
      <c r="E94" s="13" t="n">
        <v>15327.9</v>
      </c>
      <c r="F94" s="13" t="n">
        <v>9683.8</v>
      </c>
      <c r="G94" s="10" t="n">
        <f aca="false">E94-F94</f>
        <v>5644.1</v>
      </c>
      <c r="H94" s="13" t="n">
        <v>3286.9</v>
      </c>
      <c r="I94" s="10" t="n">
        <f aca="false">C94+D94+E94+H94</f>
        <v>49216.3</v>
      </c>
      <c r="J94" s="13" t="n">
        <v>50817.3</v>
      </c>
      <c r="K94" s="10" t="n">
        <f aca="false">J94-I94</f>
        <v>1601</v>
      </c>
      <c r="L94" s="13" t="n">
        <v>20328.6</v>
      </c>
      <c r="M94" s="18" t="n">
        <f aca="false">C94/L94</f>
        <v>0.759363655145952</v>
      </c>
      <c r="N94" s="18" t="n">
        <f aca="false">D94/L94</f>
        <v>0.745978572061037</v>
      </c>
      <c r="O94" s="18" t="n">
        <f aca="false">E94/L94</f>
        <v>0.754006670405242</v>
      </c>
      <c r="P94" s="18" t="n">
        <f aca="false">H94/L94</f>
        <v>0.161688458624795</v>
      </c>
      <c r="Q94" s="13" t="n">
        <v>21089.6</v>
      </c>
      <c r="R94" s="18" t="n">
        <f aca="false">Q94/L94</f>
        <v>1.03743494387218</v>
      </c>
      <c r="S94" s="18" t="n">
        <f aca="false">(Q94+D94+E94+H94)/L94</f>
        <v>2.69910864496325</v>
      </c>
    </row>
    <row r="95" customFormat="false" ht="15" hidden="false" customHeight="true" outlineLevel="0" collapsed="false">
      <c r="A95" s="5" t="s">
        <v>434</v>
      </c>
      <c r="B95" s="34" t="n">
        <v>2018.25</v>
      </c>
      <c r="C95" s="13" t="n">
        <v>15483.5</v>
      </c>
      <c r="D95" s="13" t="n">
        <v>15271.2</v>
      </c>
      <c r="E95" s="13" t="n">
        <v>15776.2</v>
      </c>
      <c r="F95" s="13" t="n">
        <v>10060.8</v>
      </c>
      <c r="G95" s="10" t="n">
        <f aca="false">E95-F95</f>
        <v>5715.4</v>
      </c>
      <c r="H95" s="13" t="n">
        <v>3287.7</v>
      </c>
      <c r="I95" s="10" t="n">
        <f aca="false">C95+D95+E95+H95</f>
        <v>49818.6</v>
      </c>
      <c r="J95" s="13" t="n">
        <v>51678.9</v>
      </c>
      <c r="K95" s="10" t="n">
        <f aca="false">J95-I95</f>
        <v>1860.3</v>
      </c>
      <c r="L95" s="13" t="n">
        <v>20580.9</v>
      </c>
      <c r="M95" s="18" t="n">
        <f aca="false">C95/L95</f>
        <v>0.75232375649267</v>
      </c>
      <c r="N95" s="18" t="n">
        <f aca="false">D95/L95</f>
        <v>0.742008366981036</v>
      </c>
      <c r="O95" s="18" t="n">
        <f aca="false">E95/L95</f>
        <v>0.766545680703954</v>
      </c>
      <c r="P95" s="18" t="n">
        <f aca="false">H95/L95</f>
        <v>0.159745200647202</v>
      </c>
      <c r="Q95" s="13" t="n">
        <v>21195.1</v>
      </c>
      <c r="R95" s="18" t="n">
        <f aca="false">Q95/L95</f>
        <v>1.02984320413587</v>
      </c>
      <c r="S95" s="18" t="n">
        <f aca="false">(Q95+D95+E95+H95)/L95</f>
        <v>2.69814245246806</v>
      </c>
    </row>
    <row r="96" customFormat="false" ht="15" hidden="false" customHeight="true" outlineLevel="0" collapsed="false">
      <c r="A96" s="5" t="s">
        <v>435</v>
      </c>
      <c r="B96" s="34" t="n">
        <v>2018.5</v>
      </c>
      <c r="C96" s="13" t="n">
        <v>15778.8</v>
      </c>
      <c r="D96" s="13" t="n">
        <v>15396.4</v>
      </c>
      <c r="E96" s="13" t="n">
        <v>15968.1</v>
      </c>
      <c r="F96" s="13" t="n">
        <v>10177.8</v>
      </c>
      <c r="G96" s="10" t="n">
        <f aca="false">E96-F96</f>
        <v>5790.3</v>
      </c>
      <c r="H96" s="13" t="n">
        <v>3287.9</v>
      </c>
      <c r="I96" s="10" t="n">
        <f aca="false">C96+D96+E96+H96</f>
        <v>50431.2</v>
      </c>
      <c r="J96" s="13" t="n">
        <v>52253.1</v>
      </c>
      <c r="K96" s="10" t="n">
        <f aca="false">J96-I96</f>
        <v>1821.9</v>
      </c>
      <c r="L96" s="13" t="n">
        <v>20798.7</v>
      </c>
      <c r="M96" s="18" t="n">
        <f aca="false">C96/L96</f>
        <v>0.758643569069221</v>
      </c>
      <c r="N96" s="18" t="n">
        <f aca="false">D96/L96</f>
        <v>0.740257804574324</v>
      </c>
      <c r="O96" s="18" t="n">
        <f aca="false">E96/L96</f>
        <v>0.767745099453331</v>
      </c>
      <c r="P96" s="18" t="n">
        <f aca="false">H96/L96</f>
        <v>0.158081995509335</v>
      </c>
      <c r="Q96" s="13" t="n">
        <v>21516.1</v>
      </c>
      <c r="R96" s="18" t="n">
        <f aca="false">Q96/L96</f>
        <v>1.03449254039916</v>
      </c>
      <c r="S96" s="18" t="n">
        <f aca="false">(Q96+D96+E96+H96)/L96</f>
        <v>2.70057743993615</v>
      </c>
    </row>
    <row r="97" customFormat="false" ht="15" hidden="false" customHeight="true" outlineLevel="0" collapsed="false">
      <c r="A97" s="5" t="s">
        <v>436</v>
      </c>
      <c r="B97" s="34" t="n">
        <v>2018.75</v>
      </c>
      <c r="C97" s="13" t="n">
        <v>16120.7</v>
      </c>
      <c r="D97" s="13" t="n">
        <v>15499.7</v>
      </c>
      <c r="E97" s="13" t="n">
        <v>16154.2</v>
      </c>
      <c r="F97" s="13" t="n">
        <v>10288.3</v>
      </c>
      <c r="G97" s="10" t="n">
        <f aca="false">E97-F97</f>
        <v>5865.9</v>
      </c>
      <c r="H97" s="13" t="n">
        <v>3265.4</v>
      </c>
      <c r="I97" s="10" t="n">
        <f aca="false">C97+D97+E97+H97</f>
        <v>51040</v>
      </c>
      <c r="J97" s="13" t="n">
        <v>52784.3</v>
      </c>
      <c r="K97" s="10" t="n">
        <f aca="false">J97-I97</f>
        <v>1744.3</v>
      </c>
      <c r="L97" s="13" t="n">
        <v>20917.9</v>
      </c>
      <c r="M97" s="18" t="n">
        <f aca="false">C97/L97</f>
        <v>0.770665315351924</v>
      </c>
      <c r="N97" s="18" t="n">
        <f aca="false">D97/L97</f>
        <v>0.740977822821603</v>
      </c>
      <c r="O97" s="18" t="n">
        <f aca="false">E97/L97</f>
        <v>0.772266814546393</v>
      </c>
      <c r="P97" s="18" t="n">
        <f aca="false">H97/L97</f>
        <v>0.156105536406618</v>
      </c>
      <c r="Q97" s="13" t="n">
        <v>21974.1</v>
      </c>
      <c r="R97" s="18" t="n">
        <f aca="false">Q97/L97</f>
        <v>1.0504926402746</v>
      </c>
      <c r="S97" s="18" t="n">
        <f aca="false">(Q97+D97+E97+H97)/L97</f>
        <v>2.71984281404921</v>
      </c>
    </row>
    <row r="98" customFormat="false" ht="15" hidden="false" customHeight="true" outlineLevel="0" collapsed="false">
      <c r="A98" s="5" t="s">
        <v>437</v>
      </c>
      <c r="B98" s="34" t="n">
        <v>2019</v>
      </c>
      <c r="C98" s="13" t="n">
        <v>16223.9</v>
      </c>
      <c r="D98" s="13" t="n">
        <v>15601.8</v>
      </c>
      <c r="E98" s="13" t="n">
        <v>16399.5</v>
      </c>
      <c r="F98" s="13" t="n">
        <v>10505.3</v>
      </c>
      <c r="G98" s="10" t="n">
        <f aca="false">E98-F98</f>
        <v>5894.2</v>
      </c>
      <c r="H98" s="13" t="n">
        <v>3248.3</v>
      </c>
      <c r="I98" s="10" t="n">
        <f aca="false">C98+D98+E98+H98</f>
        <v>51473.5</v>
      </c>
      <c r="J98" s="13" t="n">
        <v>53345.4</v>
      </c>
      <c r="K98" s="10" t="n">
        <f aca="false">J98-I98</f>
        <v>1871.9</v>
      </c>
      <c r="L98" s="13" t="n">
        <v>21111.6</v>
      </c>
      <c r="M98" s="18" t="n">
        <f aca="false">C98/L98</f>
        <v>0.768482729873624</v>
      </c>
      <c r="N98" s="18" t="n">
        <f aca="false">D98/L98</f>
        <v>0.739015517535383</v>
      </c>
      <c r="O98" s="18" t="n">
        <f aca="false">E98/L98</f>
        <v>0.776800431989996</v>
      </c>
      <c r="P98" s="18" t="n">
        <f aca="false">H98/L98</f>
        <v>0.153863278955645</v>
      </c>
      <c r="Q98" s="13" t="n">
        <v>22027.9</v>
      </c>
      <c r="R98" s="18" t="n">
        <f aca="false">Q98/L98</f>
        <v>1.04340267909585</v>
      </c>
      <c r="S98" s="18" t="n">
        <f aca="false">(Q98+D98+E98+H98)/L98</f>
        <v>2.71308190757688</v>
      </c>
    </row>
    <row r="99" customFormat="false" ht="15" hidden="false" customHeight="true" outlineLevel="0" collapsed="false">
      <c r="A99" s="5" t="s">
        <v>438</v>
      </c>
      <c r="B99" s="34" t="n">
        <v>2019.25</v>
      </c>
      <c r="C99" s="13" t="n">
        <v>16204.7</v>
      </c>
      <c r="D99" s="13" t="n">
        <v>15774.6</v>
      </c>
      <c r="E99" s="13" t="n">
        <v>16555.3</v>
      </c>
      <c r="F99" s="13" t="n">
        <v>10632.5</v>
      </c>
      <c r="G99" s="10" t="n">
        <f aca="false">E99-F99</f>
        <v>5922.8</v>
      </c>
      <c r="H99" s="13" t="n">
        <v>3236.4</v>
      </c>
      <c r="I99" s="10" t="n">
        <f aca="false">C99+D99+E99+H99</f>
        <v>51771</v>
      </c>
      <c r="J99" s="13" t="n">
        <v>53850.8</v>
      </c>
      <c r="K99" s="10" t="n">
        <f aca="false">J99-I99</f>
        <v>2079.8</v>
      </c>
      <c r="L99" s="13" t="n">
        <v>21397.9</v>
      </c>
      <c r="M99" s="18" t="n">
        <f aca="false">C99/L99</f>
        <v>0.757303286771132</v>
      </c>
      <c r="N99" s="18" t="n">
        <f aca="false">D99/L99</f>
        <v>0.737203183489969</v>
      </c>
      <c r="O99" s="18" t="n">
        <f aca="false">E99/L99</f>
        <v>0.773688072194</v>
      </c>
      <c r="P99" s="18" t="n">
        <f aca="false">H99/L99</f>
        <v>0.151248487001061</v>
      </c>
      <c r="Q99" s="13" t="n">
        <v>22023.3</v>
      </c>
      <c r="R99" s="18" t="n">
        <f aca="false">Q99/L99</f>
        <v>1.02922716715192</v>
      </c>
      <c r="S99" s="18" t="n">
        <f aca="false">(Q99+D99+E99+H99)/L99</f>
        <v>2.69136690983695</v>
      </c>
    </row>
    <row r="100" customFormat="false" ht="15" hidden="false" customHeight="true" outlineLevel="0" collapsed="false">
      <c r="A100" s="5" t="s">
        <v>439</v>
      </c>
      <c r="B100" s="34" t="n">
        <v>2019.5</v>
      </c>
      <c r="C100" s="13" t="n">
        <v>16826</v>
      </c>
      <c r="D100" s="13" t="n">
        <v>15929.8</v>
      </c>
      <c r="E100" s="13" t="n">
        <v>16781.1</v>
      </c>
      <c r="F100" s="13" t="n">
        <v>10833.2</v>
      </c>
      <c r="G100" s="10" t="n">
        <f aca="false">E100-F100</f>
        <v>5947.9</v>
      </c>
      <c r="H100" s="13" t="n">
        <v>3242.2</v>
      </c>
      <c r="I100" s="10" t="n">
        <f aca="false">C100+D100+E100+H100</f>
        <v>52779.1</v>
      </c>
      <c r="J100" s="13" t="n">
        <v>54713.8</v>
      </c>
      <c r="K100" s="10" t="n">
        <f aca="false">J100-I100</f>
        <v>1934.70000000001</v>
      </c>
      <c r="L100" s="13" t="n">
        <v>21717.2</v>
      </c>
      <c r="M100" s="18" t="n">
        <f aca="false">C100/L100</f>
        <v>0.77477759563848</v>
      </c>
      <c r="N100" s="18" t="n">
        <f aca="false">D100/L100</f>
        <v>0.733510765660398</v>
      </c>
      <c r="O100" s="18" t="n">
        <f aca="false">E100/L100</f>
        <v>0.772710109958927</v>
      </c>
      <c r="P100" s="18" t="n">
        <f aca="false">H100/L100</f>
        <v>0.149291805573463</v>
      </c>
      <c r="Q100" s="13" t="n">
        <v>22719.4</v>
      </c>
      <c r="R100" s="18" t="n">
        <f aca="false">Q100/L100</f>
        <v>1.04614775385409</v>
      </c>
      <c r="S100" s="18" t="n">
        <f aca="false">(Q100+D100+E100+H100)/L100</f>
        <v>2.70166043504688</v>
      </c>
    </row>
    <row r="101" customFormat="false" ht="15" hidden="false" customHeight="true" outlineLevel="0" collapsed="false">
      <c r="A101" s="5" t="s">
        <v>440</v>
      </c>
      <c r="B101" s="34" t="n">
        <v>2019.75</v>
      </c>
      <c r="C101" s="13" t="n">
        <v>17187.4</v>
      </c>
      <c r="D101" s="13" t="n">
        <v>16081</v>
      </c>
      <c r="E101" s="13" t="n">
        <v>16864.8</v>
      </c>
      <c r="F101" s="13" t="n">
        <v>10886.3</v>
      </c>
      <c r="G101" s="10" t="n">
        <f aca="false">E101-F101</f>
        <v>5978.5</v>
      </c>
      <c r="H101" s="13" t="n">
        <v>3265.4</v>
      </c>
      <c r="I101" s="10" t="n">
        <f aca="false">C101+D101+E101+H101</f>
        <v>53398.6</v>
      </c>
      <c r="J101" s="13" t="n">
        <v>55251.1</v>
      </c>
      <c r="K101" s="10" t="n">
        <f aca="false">J101-I101</f>
        <v>1852.5</v>
      </c>
      <c r="L101" s="13" t="n">
        <v>21933.2</v>
      </c>
      <c r="M101" s="18" t="n">
        <f aca="false">C101/L101</f>
        <v>0.783624824467018</v>
      </c>
      <c r="N101" s="18" t="n">
        <f aca="false">D101/L101</f>
        <v>0.733180748819142</v>
      </c>
      <c r="O101" s="18" t="n">
        <f aca="false">E101/L101</f>
        <v>0.768916528367954</v>
      </c>
      <c r="P101" s="18" t="n">
        <f aca="false">H101/L101</f>
        <v>0.148879324494374</v>
      </c>
      <c r="Q101" s="13" t="n">
        <v>23201.4</v>
      </c>
      <c r="R101" s="18" t="n">
        <f aca="false">Q101/L101</f>
        <v>1.05782102018857</v>
      </c>
      <c r="S101" s="18" t="n">
        <f aca="false">(Q101+D101+E101+H101)/L101</f>
        <v>2.70879762187004</v>
      </c>
    </row>
    <row r="102" customFormat="false" ht="15" hidden="false" customHeight="true" outlineLevel="0" collapsed="false">
      <c r="A102" s="5" t="s">
        <v>441</v>
      </c>
      <c r="B102" s="34" t="n">
        <v>2020</v>
      </c>
      <c r="C102" s="13" t="n">
        <v>17228.8</v>
      </c>
      <c r="D102" s="13" t="n">
        <v>16185.9</v>
      </c>
      <c r="E102" s="13" t="n">
        <v>17708.9</v>
      </c>
      <c r="F102" s="13" t="n">
        <v>11646.3</v>
      </c>
      <c r="G102" s="10" t="n">
        <f aca="false">E102-F102</f>
        <v>6062.6</v>
      </c>
      <c r="H102" s="13" t="n">
        <v>3277.9</v>
      </c>
      <c r="I102" s="10" t="n">
        <f aca="false">C102+D102+E102+H102</f>
        <v>54401.5</v>
      </c>
      <c r="J102" s="13" t="n">
        <v>56676.6</v>
      </c>
      <c r="K102" s="10" t="n">
        <f aca="false">J102-I102</f>
        <v>2275.1</v>
      </c>
      <c r="L102" s="13" t="n">
        <v>21751.2</v>
      </c>
      <c r="M102" s="18" t="n">
        <f aca="false">C102/L102</f>
        <v>0.792085034388907</v>
      </c>
      <c r="N102" s="18" t="n">
        <f aca="false">D102/L102</f>
        <v>0.744138254441134</v>
      </c>
      <c r="O102" s="18" t="n">
        <f aca="false">E102/L102</f>
        <v>0.814157379822723</v>
      </c>
      <c r="P102" s="18" t="n">
        <f aca="false">H102/L102</f>
        <v>0.150699731509066</v>
      </c>
      <c r="Q102" s="13" t="n">
        <v>23223.8</v>
      </c>
      <c r="R102" s="18" t="n">
        <f aca="false">Q102/L102</f>
        <v>1.06770201184302</v>
      </c>
      <c r="S102" s="18" t="n">
        <f aca="false">(Q102+D102+E102+H102)/L102</f>
        <v>2.77669737761595</v>
      </c>
    </row>
    <row r="103" customFormat="false" ht="15" hidden="false" customHeight="true" outlineLevel="0" collapsed="false">
      <c r="A103" s="5" t="s">
        <v>442</v>
      </c>
      <c r="B103" s="34" t="n">
        <v>2020.25</v>
      </c>
      <c r="C103" s="13" t="n">
        <v>20548.4</v>
      </c>
      <c r="D103" s="13" t="n">
        <v>16165.7</v>
      </c>
      <c r="E103" s="13" t="n">
        <v>18387</v>
      </c>
      <c r="F103" s="13" t="n">
        <v>12120</v>
      </c>
      <c r="G103" s="10" t="n">
        <f aca="false">E103-F103</f>
        <v>6267</v>
      </c>
      <c r="H103" s="13" t="n">
        <v>3311</v>
      </c>
      <c r="I103" s="10" t="n">
        <f aca="false">C103+D103+E103+H103</f>
        <v>58412.1</v>
      </c>
      <c r="J103" s="13" t="n">
        <v>60403.7</v>
      </c>
      <c r="K103" s="10" t="n">
        <f aca="false">J103-I103</f>
        <v>1991.59999999999</v>
      </c>
      <c r="L103" s="13" t="n">
        <v>19958.3</v>
      </c>
      <c r="M103" s="18" t="n">
        <f aca="false">C103/L103</f>
        <v>1.02956664645786</v>
      </c>
      <c r="N103" s="18" t="n">
        <f aca="false">D103/L103</f>
        <v>0.809973795363333</v>
      </c>
      <c r="O103" s="18" t="n">
        <f aca="false">E103/L103</f>
        <v>0.92127084972167</v>
      </c>
      <c r="P103" s="18" t="n">
        <f aca="false">H103/L103</f>
        <v>0.165895892936773</v>
      </c>
      <c r="Q103" s="13" t="n">
        <v>26477.2</v>
      </c>
      <c r="R103" s="18" t="n">
        <f aca="false">Q103/L103</f>
        <v>1.32662601524178</v>
      </c>
      <c r="S103" s="18" t="n">
        <f aca="false">(Q103+D103+E103+H103)/L103</f>
        <v>3.22376655326356</v>
      </c>
    </row>
    <row r="104" customFormat="false" ht="15" hidden="false" customHeight="true" outlineLevel="0" collapsed="false">
      <c r="A104" s="5" t="s">
        <v>443</v>
      </c>
      <c r="B104" s="34" t="n">
        <v>2020.5</v>
      </c>
      <c r="C104" s="13" t="n">
        <v>21037.6</v>
      </c>
      <c r="D104" s="13" t="n">
        <v>16386.4</v>
      </c>
      <c r="E104" s="13" t="n">
        <v>18401.1</v>
      </c>
      <c r="F104" s="13" t="n">
        <v>12017.7</v>
      </c>
      <c r="G104" s="10" t="n">
        <f aca="false">E104-F104</f>
        <v>6383.4</v>
      </c>
      <c r="H104" s="13" t="n">
        <v>3357.9</v>
      </c>
      <c r="I104" s="10" t="n">
        <f aca="false">C104+D104+E104+H104</f>
        <v>59183</v>
      </c>
      <c r="J104" s="13" t="n">
        <v>61196.8</v>
      </c>
      <c r="K104" s="10" t="n">
        <f aca="false">J104-I104</f>
        <v>2013.8</v>
      </c>
      <c r="L104" s="13" t="n">
        <v>21704.4</v>
      </c>
      <c r="M104" s="18" t="n">
        <f aca="false">C104/L104</f>
        <v>0.969278118722471</v>
      </c>
      <c r="N104" s="18" t="n">
        <f aca="false">D104/L104</f>
        <v>0.754980556937764</v>
      </c>
      <c r="O104" s="18" t="n">
        <f aca="false">E104/L104</f>
        <v>0.847805053353237</v>
      </c>
      <c r="P104" s="18" t="n">
        <f aca="false">H104/L104</f>
        <v>0.154710565599602</v>
      </c>
      <c r="Q104" s="13" t="n">
        <v>26945.4</v>
      </c>
      <c r="R104" s="18" t="n">
        <f aca="false">Q104/L104</f>
        <v>1.24147177530823</v>
      </c>
      <c r="S104" s="18" t="n">
        <f aca="false">(Q104+D104+E104+H104)/L104</f>
        <v>2.99896795119884</v>
      </c>
    </row>
    <row r="105" customFormat="false" ht="15" hidden="false" customHeight="true" outlineLevel="0" collapsed="false">
      <c r="A105" s="5" t="s">
        <v>444</v>
      </c>
      <c r="B105" s="34" t="n">
        <v>2020.75</v>
      </c>
      <c r="C105" s="13" t="n">
        <v>21651.4</v>
      </c>
      <c r="D105" s="13" t="n">
        <v>16616.8</v>
      </c>
      <c r="E105" s="13" t="n">
        <v>18463</v>
      </c>
      <c r="F105" s="13" t="n">
        <v>11958.8</v>
      </c>
      <c r="G105" s="10" t="n">
        <f aca="false">E105-F105</f>
        <v>6504.2</v>
      </c>
      <c r="H105" s="13" t="n">
        <v>3373.6</v>
      </c>
      <c r="I105" s="10" t="n">
        <f aca="false">C105+D105+E105+H105</f>
        <v>60104.8</v>
      </c>
      <c r="J105" s="13" t="n">
        <v>62074.4</v>
      </c>
      <c r="K105" s="10" t="n">
        <f aca="false">J105-I105</f>
        <v>1969.60000000001</v>
      </c>
      <c r="L105" s="13" t="n">
        <v>22087.2</v>
      </c>
      <c r="M105" s="18" t="n">
        <f aca="false">C105/L105</f>
        <v>0.980269115143613</v>
      </c>
      <c r="N105" s="18" t="n">
        <f aca="false">D105/L105</f>
        <v>0.752327139700822</v>
      </c>
      <c r="O105" s="18" t="n">
        <f aca="false">E105/L105</f>
        <v>0.835914013546307</v>
      </c>
      <c r="P105" s="18" t="n">
        <f aca="false">H105/L105</f>
        <v>0.152740048534898</v>
      </c>
      <c r="Q105" s="13" t="n">
        <v>27747.8</v>
      </c>
      <c r="R105" s="18" t="n">
        <f aca="false">Q105/L105</f>
        <v>1.25628418269405</v>
      </c>
      <c r="S105" s="18" t="n">
        <f aca="false">(Q105+D105+E105+H105)/L105</f>
        <v>2.99726538447608</v>
      </c>
    </row>
    <row r="106" customFormat="false" ht="15" hidden="false" customHeight="true" outlineLevel="0" collapsed="false">
      <c r="A106" s="5" t="s">
        <v>445</v>
      </c>
      <c r="B106" s="34" t="n">
        <v>2021</v>
      </c>
      <c r="C106" s="13" t="n">
        <v>22006.9</v>
      </c>
      <c r="D106" s="13" t="n">
        <v>16861.4</v>
      </c>
      <c r="E106" s="13" t="n">
        <v>18685.3</v>
      </c>
      <c r="F106" s="13" t="n">
        <v>12085.9</v>
      </c>
      <c r="G106" s="10" t="n">
        <f aca="false">E106-F106</f>
        <v>6599.4</v>
      </c>
      <c r="H106" s="13" t="n">
        <v>3398.6</v>
      </c>
      <c r="I106" s="10" t="n">
        <f aca="false">C106+D106+E106+H106</f>
        <v>60952.2</v>
      </c>
      <c r="J106" s="13" t="n">
        <v>62876.2</v>
      </c>
      <c r="K106" s="10" t="n">
        <f aca="false">J106-I106</f>
        <v>1923.99999999999</v>
      </c>
      <c r="L106" s="13" t="n">
        <v>22680.7</v>
      </c>
      <c r="M106" s="18" t="n">
        <f aca="false">C106/L106</f>
        <v>0.970291922206987</v>
      </c>
      <c r="N106" s="18" t="n">
        <f aca="false">D106/L106</f>
        <v>0.743425026564436</v>
      </c>
      <c r="O106" s="18" t="n">
        <f aca="false">E106/L106</f>
        <v>0.823841415829317</v>
      </c>
      <c r="P106" s="18" t="n">
        <f aca="false">H106/L106</f>
        <v>0.149845463323442</v>
      </c>
      <c r="Q106" s="13" t="n">
        <v>28132.6</v>
      </c>
      <c r="R106" s="18" t="n">
        <f aca="false">Q106/L106</f>
        <v>1.24037617886573</v>
      </c>
      <c r="S106" s="18" t="n">
        <f aca="false">(Q106+D106+E106+H106)/L106</f>
        <v>2.95748808458293</v>
      </c>
    </row>
    <row r="107" customFormat="false" ht="15" hidden="false" customHeight="true" outlineLevel="0" collapsed="false">
      <c r="A107" s="5" t="s">
        <v>446</v>
      </c>
      <c r="B107" s="34" t="n">
        <v>2021.25</v>
      </c>
      <c r="C107" s="13" t="n">
        <v>22353.5</v>
      </c>
      <c r="D107" s="13" t="n">
        <v>17551.9</v>
      </c>
      <c r="E107" s="13" t="n">
        <v>19004.3</v>
      </c>
      <c r="F107" s="13" t="n">
        <v>12341.6</v>
      </c>
      <c r="G107" s="10" t="n">
        <f aca="false">E107-F107</f>
        <v>6662.7</v>
      </c>
      <c r="H107" s="13" t="n">
        <v>3419.8</v>
      </c>
      <c r="I107" s="10" t="n">
        <f aca="false">C107+D107+E107+H107</f>
        <v>62329.5</v>
      </c>
      <c r="J107" s="13" t="n">
        <v>64448.4</v>
      </c>
      <c r="K107" s="10" t="n">
        <f aca="false">J107-I107</f>
        <v>2118.9</v>
      </c>
      <c r="L107" s="13" t="n">
        <v>23425.9</v>
      </c>
      <c r="M107" s="18" t="n">
        <f aca="false">C107/L107</f>
        <v>0.95422160941522</v>
      </c>
      <c r="N107" s="18" t="n">
        <f aca="false">D107/L107</f>
        <v>0.749251896405261</v>
      </c>
      <c r="O107" s="18" t="n">
        <f aca="false">E107/L107</f>
        <v>0.811251648816054</v>
      </c>
      <c r="P107" s="18" t="n">
        <f aca="false">H107/L107</f>
        <v>0.145983718875262</v>
      </c>
      <c r="Q107" s="13" t="n">
        <v>28529.4</v>
      </c>
      <c r="R107" s="18" t="n">
        <f aca="false">Q107/L107</f>
        <v>1.21785715810278</v>
      </c>
      <c r="S107" s="18" t="n">
        <f aca="false">(Q107+D107+E107+H107)/L107</f>
        <v>2.92434442219936</v>
      </c>
    </row>
    <row r="108" customFormat="false" ht="15" hidden="false" customHeight="true" outlineLevel="0" collapsed="false">
      <c r="A108" s="5" t="s">
        <v>447</v>
      </c>
      <c r="B108" s="34" t="n">
        <v>2021.5</v>
      </c>
      <c r="C108" s="13" t="n">
        <v>22305.9</v>
      </c>
      <c r="D108" s="13" t="n">
        <v>17864.9</v>
      </c>
      <c r="E108" s="13" t="n">
        <v>19228.7</v>
      </c>
      <c r="F108" s="13" t="n">
        <v>12512</v>
      </c>
      <c r="G108" s="10" t="n">
        <f aca="false">E108-F108</f>
        <v>6716.7</v>
      </c>
      <c r="H108" s="13" t="n">
        <v>3441.4</v>
      </c>
      <c r="I108" s="10" t="n">
        <f aca="false">C108+D108+E108+H108</f>
        <v>62840.9</v>
      </c>
      <c r="J108" s="13" t="n">
        <v>65113.9</v>
      </c>
      <c r="K108" s="10" t="n">
        <f aca="false">J108-I108</f>
        <v>2273</v>
      </c>
      <c r="L108" s="13" t="n">
        <v>23982.4</v>
      </c>
      <c r="M108" s="18" t="n">
        <f aca="false">C108/L108</f>
        <v>0.930094569350857</v>
      </c>
      <c r="N108" s="18" t="n">
        <f aca="false">D108/L108</f>
        <v>0.744917105877644</v>
      </c>
      <c r="O108" s="18" t="n">
        <f aca="false">E108/L108</f>
        <v>0.801783808125959</v>
      </c>
      <c r="P108" s="18" t="n">
        <f aca="false">H108/L108</f>
        <v>0.143496897724998</v>
      </c>
      <c r="Q108" s="13" t="n">
        <v>28428.9</v>
      </c>
      <c r="R108" s="18" t="n">
        <f aca="false">Q108/L108</f>
        <v>1.18540679831877</v>
      </c>
      <c r="S108" s="18" t="n">
        <f aca="false">(Q108+D108+E108+H108)/L108</f>
        <v>2.87560461004737</v>
      </c>
    </row>
    <row r="109" customFormat="false" ht="15" hidden="false" customHeight="true" outlineLevel="0" collapsed="false">
      <c r="A109" s="5" t="s">
        <v>448</v>
      </c>
      <c r="B109" s="34" t="n">
        <v>2021.75</v>
      </c>
      <c r="C109" s="13" t="n">
        <v>23168.3</v>
      </c>
      <c r="D109" s="13" t="n">
        <v>18204.3</v>
      </c>
      <c r="E109" s="13" t="n">
        <v>19587.5</v>
      </c>
      <c r="F109" s="13" t="n">
        <v>12696.5</v>
      </c>
      <c r="G109" s="10" t="n">
        <f aca="false">E109-F109</f>
        <v>6891</v>
      </c>
      <c r="H109" s="13" t="n">
        <v>3435.3</v>
      </c>
      <c r="I109" s="10" t="n">
        <f aca="false">C109+D109+E109+H109</f>
        <v>64395.4</v>
      </c>
      <c r="J109" s="13" t="n">
        <v>66531.6</v>
      </c>
      <c r="K109" s="10" t="n">
        <f aca="false">J109-I109</f>
        <v>2136.2</v>
      </c>
      <c r="L109" s="13" t="n">
        <v>24813.6</v>
      </c>
      <c r="M109" s="18" t="n">
        <f aca="false">C109/L109</f>
        <v>0.933693619627946</v>
      </c>
      <c r="N109" s="18" t="n">
        <f aca="false">D109/L109</f>
        <v>0.733642035013057</v>
      </c>
      <c r="O109" s="18" t="n">
        <f aca="false">E109/L109</f>
        <v>0.789385659477061</v>
      </c>
      <c r="P109" s="18" t="n">
        <f aca="false">H109/L109</f>
        <v>0.138444240255344</v>
      </c>
      <c r="Q109" s="13" t="n">
        <v>29617.2</v>
      </c>
      <c r="R109" s="18" t="n">
        <f aca="false">Q109/L109</f>
        <v>1.19358738756166</v>
      </c>
      <c r="S109" s="18" t="n">
        <f aca="false">(Q109+D109+E109+H109)/L109</f>
        <v>2.85505932230712</v>
      </c>
    </row>
    <row r="110" customFormat="false" ht="15" hidden="false" customHeight="true" outlineLevel="0" collapsed="false">
      <c r="A110" s="5" t="s">
        <v>449</v>
      </c>
      <c r="B110" s="34" t="n">
        <v>2022</v>
      </c>
      <c r="C110" s="13" t="n">
        <v>23903.3</v>
      </c>
      <c r="D110" s="13" t="n">
        <v>18588.5</v>
      </c>
      <c r="E110" s="13" t="n">
        <v>19946.7</v>
      </c>
      <c r="F110" s="13" t="n">
        <v>12917.7</v>
      </c>
      <c r="G110" s="10" t="n">
        <f aca="false">E110-F110</f>
        <v>7029</v>
      </c>
      <c r="H110" s="13" t="n">
        <v>3415.1</v>
      </c>
      <c r="I110" s="10" t="n">
        <f aca="false">C110+D110+E110+H110</f>
        <v>65853.6</v>
      </c>
      <c r="J110" s="13" t="n">
        <v>67959.2</v>
      </c>
      <c r="K110" s="10" t="n">
        <f aca="false">J110-I110</f>
        <v>2105.59999999999</v>
      </c>
      <c r="L110" s="13" t="n">
        <v>25250.3</v>
      </c>
      <c r="M110" s="18" t="n">
        <f aca="false">C110/L110</f>
        <v>0.946654099159218</v>
      </c>
      <c r="N110" s="18" t="n">
        <f aca="false">D110/L110</f>
        <v>0.736169471253807</v>
      </c>
      <c r="O110" s="18" t="n">
        <f aca="false">E110/L110</f>
        <v>0.789958931181016</v>
      </c>
      <c r="P110" s="18" t="n">
        <f aca="false">H110/L110</f>
        <v>0.135249878219269</v>
      </c>
      <c r="Q110" s="13" t="n">
        <v>30401</v>
      </c>
      <c r="R110" s="18" t="n">
        <f aca="false">Q110/L110</f>
        <v>1.20398569521946</v>
      </c>
      <c r="S110" s="18" t="n">
        <f aca="false">(Q110+D110+E110+H110)/L110</f>
        <v>2.86536397587355</v>
      </c>
    </row>
    <row r="111" customFormat="false" ht="15" hidden="false" customHeight="true" outlineLevel="0" collapsed="false">
      <c r="A111" s="5" t="s">
        <v>450</v>
      </c>
      <c r="B111" s="34" t="n">
        <v>2022.25</v>
      </c>
      <c r="C111" s="13" t="n">
        <v>23933.5</v>
      </c>
      <c r="D111" s="13" t="n">
        <v>18940.2</v>
      </c>
      <c r="E111" s="13" t="n">
        <v>20284</v>
      </c>
      <c r="F111" s="13" t="n">
        <v>13115.8</v>
      </c>
      <c r="G111" s="10" t="n">
        <f aca="false">E111-F111</f>
        <v>7168.2</v>
      </c>
      <c r="H111" s="13" t="n">
        <v>3434.8</v>
      </c>
      <c r="I111" s="10" t="n">
        <f aca="false">C111+D111+E111+H111</f>
        <v>66592.5</v>
      </c>
      <c r="J111" s="13" t="n">
        <v>68884</v>
      </c>
      <c r="K111" s="10" t="n">
        <f aca="false">J111-I111</f>
        <v>2291.5</v>
      </c>
      <c r="L111" s="13" t="n">
        <v>25861.3</v>
      </c>
      <c r="M111" s="18" t="n">
        <f aca="false">C111/L111</f>
        <v>0.925456183563858</v>
      </c>
      <c r="N111" s="18" t="n">
        <f aca="false">D111/L111</f>
        <v>0.732376175984966</v>
      </c>
      <c r="O111" s="18" t="n">
        <f aca="false">E111/L111</f>
        <v>0.7843379876495</v>
      </c>
      <c r="P111" s="18" t="n">
        <f aca="false">H111/L111</f>
        <v>0.132816215735481</v>
      </c>
      <c r="Q111" s="13" t="n">
        <v>30568.6</v>
      </c>
      <c r="R111" s="18" t="n">
        <f aca="false">Q111/L111</f>
        <v>1.18202101209143</v>
      </c>
      <c r="S111" s="18" t="n">
        <f aca="false">(Q111+D111+E111+H111)/L111</f>
        <v>2.83155139146137</v>
      </c>
    </row>
    <row r="112" customFormat="false" ht="15" hidden="false" customHeight="true" outlineLevel="0" collapsed="false">
      <c r="A112" s="5" t="s">
        <v>451</v>
      </c>
      <c r="B112" s="34" t="n">
        <v>2022.5</v>
      </c>
      <c r="C112" s="13" t="n">
        <v>24320.2</v>
      </c>
      <c r="D112" s="13" t="n">
        <v>19244.6</v>
      </c>
      <c r="E112" s="13" t="n">
        <v>20479.4</v>
      </c>
      <c r="F112" s="13" t="n">
        <v>13194.1</v>
      </c>
      <c r="G112" s="10" t="n">
        <f aca="false">E112-F112</f>
        <v>7285.3</v>
      </c>
      <c r="H112" s="13" t="n">
        <v>3435.4</v>
      </c>
      <c r="I112" s="10" t="n">
        <f aca="false">C112+D112+E112+H112</f>
        <v>67479.6</v>
      </c>
      <c r="J112" s="13" t="n">
        <v>69775.8</v>
      </c>
      <c r="K112" s="10" t="n">
        <f aca="false">J112-I112</f>
        <v>2296.2</v>
      </c>
      <c r="L112" s="13" t="n">
        <v>26336.3</v>
      </c>
      <c r="M112" s="18" t="n">
        <f aca="false">C112/L112</f>
        <v>0.923447864734226</v>
      </c>
      <c r="N112" s="18" t="n">
        <f aca="false">D112/L112</f>
        <v>0.73072527272244</v>
      </c>
      <c r="O112" s="18" t="n">
        <f aca="false">E112/L112</f>
        <v>0.777611129885367</v>
      </c>
      <c r="P112" s="18" t="n">
        <f aca="false">H112/L112</f>
        <v>0.130443532310917</v>
      </c>
      <c r="Q112" s="13" t="n">
        <v>30928.9</v>
      </c>
      <c r="R112" s="18" t="n">
        <f aca="false">Q112/L112</f>
        <v>1.17438288597867</v>
      </c>
      <c r="S112" s="18" t="n">
        <f aca="false">(Q112+D112+E112+H112)/L112</f>
        <v>2.81316282089739</v>
      </c>
    </row>
    <row r="113" customFormat="false" ht="15" hidden="false" customHeight="true" outlineLevel="0" collapsed="false">
      <c r="A113" s="5" t="s">
        <v>452</v>
      </c>
      <c r="B113" s="34" t="n">
        <v>2022.75</v>
      </c>
      <c r="C113" s="13" t="n">
        <v>24539.2</v>
      </c>
      <c r="D113" s="13" t="n">
        <v>19418</v>
      </c>
      <c r="E113" s="13" t="n">
        <v>20562.5</v>
      </c>
      <c r="F113" s="13" t="n">
        <v>13151.3</v>
      </c>
      <c r="G113" s="10" t="n">
        <f aca="false">E113-F113</f>
        <v>7411.2</v>
      </c>
      <c r="H113" s="13" t="n">
        <v>3395.3</v>
      </c>
      <c r="I113" s="10" t="n">
        <f aca="false">C113+D113+E113+H113</f>
        <v>67915</v>
      </c>
      <c r="J113" s="13" t="n">
        <v>70227.2</v>
      </c>
      <c r="K113" s="10" t="n">
        <f aca="false">J113-I113</f>
        <v>2312.2</v>
      </c>
      <c r="L113" s="13" t="n">
        <v>26770.5</v>
      </c>
      <c r="M113" s="18" t="n">
        <f aca="false">C113/L113</f>
        <v>0.916650790982612</v>
      </c>
      <c r="N113" s="18" t="n">
        <f aca="false">D113/L113</f>
        <v>0.725350665844867</v>
      </c>
      <c r="O113" s="18" t="n">
        <f aca="false">E113/L113</f>
        <v>0.768102949141779</v>
      </c>
      <c r="P113" s="18" t="n">
        <f aca="false">H113/L113</f>
        <v>0.126829906053305</v>
      </c>
      <c r="Q113" s="13" t="n">
        <v>31419.7</v>
      </c>
      <c r="R113" s="18" t="n">
        <f aca="false">Q113/L113</f>
        <v>1.17366877719878</v>
      </c>
      <c r="S113" s="18" t="n">
        <f aca="false">(Q113+D113+E113+H113)/L113</f>
        <v>2.79395229823873</v>
      </c>
    </row>
    <row r="114" customFormat="false" ht="15" hidden="false" customHeight="true" outlineLevel="0" collapsed="false">
      <c r="A114" s="5" t="s">
        <v>453</v>
      </c>
      <c r="B114" s="34" t="n">
        <v>2023</v>
      </c>
      <c r="C114" s="13" t="n">
        <v>24714.8</v>
      </c>
      <c r="D114" s="13" t="n">
        <v>19542.7</v>
      </c>
      <c r="E114" s="13" t="n">
        <v>20780.5</v>
      </c>
      <c r="F114" s="13" t="n">
        <v>13298.1</v>
      </c>
      <c r="G114" s="10" t="n">
        <f aca="false">E114-F114</f>
        <v>7482.4</v>
      </c>
      <c r="H114" s="13" t="n">
        <v>3404.5</v>
      </c>
      <c r="I114" s="10" t="n">
        <f aca="false">C114+D114+E114+H114</f>
        <v>68442.5</v>
      </c>
      <c r="J114" s="13" t="n">
        <v>70953.2</v>
      </c>
      <c r="K114" s="10" t="n">
        <f aca="false">J114-I114</f>
        <v>2510.7</v>
      </c>
      <c r="L114" s="13" t="n">
        <v>27216.4</v>
      </c>
      <c r="M114" s="18" t="n">
        <f aca="false">C114/L114</f>
        <v>0.908084831204715</v>
      </c>
      <c r="N114" s="18" t="n">
        <f aca="false">D114/L114</f>
        <v>0.718048676533267</v>
      </c>
      <c r="O114" s="18" t="n">
        <f aca="false">E114/L114</f>
        <v>0.763528607751209</v>
      </c>
      <c r="P114" s="18" t="n">
        <f aca="false">H114/L114</f>
        <v>0.125090019253097</v>
      </c>
      <c r="Q114" s="13" t="n">
        <v>31458.4</v>
      </c>
      <c r="R114" s="18" t="n">
        <f aca="false">Q114/L114</f>
        <v>1.15586190679149</v>
      </c>
      <c r="S114" s="18" t="n">
        <f aca="false">(Q114+D114+E114+H114)/L114</f>
        <v>2.76252921032907</v>
      </c>
    </row>
    <row r="115" customFormat="false" ht="15" hidden="false" customHeight="true" outlineLevel="0" collapsed="false">
      <c r="A115" s="5" t="s">
        <v>454</v>
      </c>
      <c r="B115" s="34" t="n">
        <v>2023.25</v>
      </c>
      <c r="C115" s="13" t="n">
        <v>25482.1</v>
      </c>
      <c r="D115" s="13" t="n">
        <v>19698.5</v>
      </c>
      <c r="E115" s="13" t="n">
        <v>20851.2</v>
      </c>
      <c r="F115" s="13" t="n">
        <v>13339.3</v>
      </c>
      <c r="G115" s="10" t="n">
        <f aca="false">E115-F115</f>
        <v>7511.9</v>
      </c>
      <c r="H115" s="13" t="n">
        <v>3423.4</v>
      </c>
      <c r="I115" s="10" t="n">
        <f aca="false">C115+D115+E115+H115</f>
        <v>69455.2</v>
      </c>
      <c r="J115" s="13" t="n">
        <v>71896.8</v>
      </c>
      <c r="K115" s="10" t="n">
        <f aca="false">J115-I115</f>
        <v>2441.60000000001</v>
      </c>
      <c r="L115" s="13" t="n">
        <v>27530.1</v>
      </c>
      <c r="M115" s="18" t="n">
        <f aca="false">C115/L115</f>
        <v>0.925608697389403</v>
      </c>
      <c r="N115" s="18" t="n">
        <f aca="false">D115/L115</f>
        <v>0.715525915270922</v>
      </c>
      <c r="O115" s="18" t="n">
        <f aca="false">E115/L115</f>
        <v>0.757396449704142</v>
      </c>
      <c r="P115" s="18" t="n">
        <f aca="false">H115/L115</f>
        <v>0.124351164725155</v>
      </c>
      <c r="Q115" s="13" t="n">
        <v>32332.3</v>
      </c>
      <c r="R115" s="18" t="n">
        <f aca="false">Q115/L115</f>
        <v>1.17443452802569</v>
      </c>
      <c r="S115" s="18" t="n">
        <f aca="false">(Q115+D115+E115+H115)/L115</f>
        <v>2.77170805772591</v>
      </c>
    </row>
    <row r="116" customFormat="false" ht="15" hidden="false" customHeight="true" outlineLevel="0" collapsed="false">
      <c r="A116" s="5" t="s">
        <v>455</v>
      </c>
      <c r="B116" s="34" t="n">
        <v>2023.5</v>
      </c>
      <c r="C116" s="13" t="n">
        <v>26349.5</v>
      </c>
      <c r="D116" s="13" t="n">
        <v>19858.8</v>
      </c>
      <c r="E116" s="13" t="n">
        <v>20908.8</v>
      </c>
      <c r="F116" s="13" t="n">
        <v>13366.3</v>
      </c>
      <c r="G116" s="10" t="n">
        <f aca="false">E116-F116</f>
        <v>7542.5</v>
      </c>
      <c r="H116" s="13" t="n">
        <v>3423.1</v>
      </c>
      <c r="I116" s="10" t="n">
        <f aca="false">C116+D116+E116+H116</f>
        <v>70540.2</v>
      </c>
      <c r="J116" s="13" t="n">
        <v>72986.2</v>
      </c>
      <c r="K116" s="10" t="n">
        <f aca="false">J116-I116</f>
        <v>2445.99999999999</v>
      </c>
      <c r="L116" s="13" t="n">
        <v>28074.8</v>
      </c>
      <c r="M116" s="18" t="n">
        <f aca="false">C116/L116</f>
        <v>0.938546311995099</v>
      </c>
      <c r="N116" s="18" t="n">
        <f aca="false">D116/L116</f>
        <v>0.707353213558066</v>
      </c>
      <c r="O116" s="18" t="n">
        <f aca="false">E116/L116</f>
        <v>0.744753301893513</v>
      </c>
      <c r="P116" s="18" t="n">
        <f aca="false">H116/L116</f>
        <v>0.121927849886731</v>
      </c>
      <c r="Q116" s="13" t="n">
        <v>33167.3</v>
      </c>
      <c r="R116" s="18" t="n">
        <f aca="false">Q116/L116</f>
        <v>1.18139042842692</v>
      </c>
      <c r="S116" s="18" t="n">
        <f aca="false">(Q116+D116+E116+H116)/L116</f>
        <v>2.75542479376523</v>
      </c>
    </row>
    <row r="117" customFormat="false" ht="15" hidden="false" customHeight="true" outlineLevel="0" collapsed="false">
      <c r="A117" s="5" t="s">
        <v>456</v>
      </c>
      <c r="B117" s="34" t="n">
        <v>2023.75</v>
      </c>
      <c r="C117" s="13" t="n">
        <v>26960.2</v>
      </c>
      <c r="D117" s="13" t="n">
        <v>19970.7</v>
      </c>
      <c r="E117" s="13" t="n">
        <v>20936.3</v>
      </c>
      <c r="F117" s="13" t="n">
        <v>13357.1</v>
      </c>
      <c r="G117" s="10" t="n">
        <f aca="false">E117-F117</f>
        <v>7579.2</v>
      </c>
      <c r="H117" s="13" t="n">
        <v>3414.6</v>
      </c>
      <c r="I117" s="10" t="n">
        <f aca="false">C117+D117+E117+H117</f>
        <v>71281.8</v>
      </c>
      <c r="J117" s="13" t="n">
        <v>73793.5</v>
      </c>
      <c r="K117" s="10" t="n">
        <f aca="false">J117-I117</f>
        <v>2511.7</v>
      </c>
      <c r="L117" s="13" t="n">
        <v>28424.7</v>
      </c>
      <c r="M117" s="18" t="n">
        <f aca="false">C117/L117</f>
        <v>0.948477908298065</v>
      </c>
      <c r="N117" s="18" t="n">
        <f aca="false">D117/L117</f>
        <v>0.702582613009108</v>
      </c>
      <c r="O117" s="18" t="n">
        <f aca="false">E117/L117</f>
        <v>0.736553068282163</v>
      </c>
      <c r="P117" s="18" t="n">
        <f aca="false">H117/L117</f>
        <v>0.120127916917329</v>
      </c>
      <c r="Q117" s="13" t="n">
        <v>34001.5</v>
      </c>
      <c r="R117" s="18" t="n">
        <f aca="false">Q117/L117</f>
        <v>1.19619556231024</v>
      </c>
      <c r="S117" s="18" t="n">
        <f aca="false">(Q117+D117+E117+H117)/L117</f>
        <v>2.75545916051884</v>
      </c>
    </row>
    <row r="118" customFormat="false" ht="15" hidden="false" customHeight="true" outlineLevel="0" collapsed="false">
      <c r="A118" s="5" t="s">
        <v>457</v>
      </c>
      <c r="B118" s="34" t="n">
        <v>2024</v>
      </c>
      <c r="C118" s="13" t="n">
        <v>27533.4</v>
      </c>
      <c r="D118" s="13" t="n">
        <v>20130.7</v>
      </c>
      <c r="E118" s="13" t="n">
        <v>21138.3</v>
      </c>
      <c r="F118" s="13" t="n">
        <v>13515.8</v>
      </c>
      <c r="G118" s="10" t="n">
        <f aca="false">E118-F118</f>
        <v>7622.5</v>
      </c>
      <c r="H118" s="13" t="n">
        <v>3435.7</v>
      </c>
      <c r="I118" s="10" t="n">
        <f aca="false">C118+D118+E118+H118</f>
        <v>72238.1</v>
      </c>
      <c r="J118" s="13" t="n">
        <v>74725.8</v>
      </c>
      <c r="K118" s="10" t="n">
        <f aca="false">J118-I118</f>
        <v>2487.7</v>
      </c>
      <c r="L118" s="13" t="n">
        <v>28708.2</v>
      </c>
      <c r="M118" s="18" t="n">
        <f aca="false">C118/L118</f>
        <v>0.959077894120844</v>
      </c>
      <c r="N118" s="18" t="n">
        <f aca="false">D118/L118</f>
        <v>0.701217770532461</v>
      </c>
      <c r="O118" s="18" t="n">
        <f aca="false">E118/L118</f>
        <v>0.73631575647376</v>
      </c>
      <c r="P118" s="18" t="n">
        <f aca="false">H118/L118</f>
        <v>0.119676608077135</v>
      </c>
      <c r="Q118" s="13" t="n">
        <v>34586.5</v>
      </c>
      <c r="R118" s="18" t="n">
        <f aca="false">Q118/L118</f>
        <v>1.20476031238462</v>
      </c>
      <c r="S118" s="18" t="n">
        <f aca="false">(Q118+D118+E118+H118)/L118</f>
        <v>2.76197044746797</v>
      </c>
    </row>
    <row r="119" customFormat="false" ht="15" hidden="false" customHeight="true" outlineLevel="0" collapsed="false">
      <c r="A119" s="5" t="s">
        <v>458</v>
      </c>
      <c r="B119" s="34" t="n">
        <v>2024.25</v>
      </c>
      <c r="C119" s="13" t="n">
        <v>27634.1</v>
      </c>
      <c r="D119" s="13" t="n">
        <v>20271.3</v>
      </c>
      <c r="E119" s="13" t="n">
        <v>21349.3</v>
      </c>
      <c r="F119" s="13" t="n">
        <v>13681.5</v>
      </c>
      <c r="G119" s="10" t="n">
        <f aca="false">E119-F119</f>
        <v>7667.8</v>
      </c>
      <c r="H119" s="13" t="n">
        <v>3485.6</v>
      </c>
      <c r="I119" s="10" t="n">
        <f aca="false">C119+D119+E119+H119</f>
        <v>72740.3</v>
      </c>
      <c r="J119" s="13" t="n">
        <v>75420.5</v>
      </c>
      <c r="K119" s="10" t="n">
        <f aca="false">J119-I119</f>
        <v>2680.2</v>
      </c>
      <c r="L119" s="13" t="n">
        <v>29147</v>
      </c>
      <c r="M119" s="18" t="n">
        <f aca="false">C119/L119</f>
        <v>0.948094143479603</v>
      </c>
      <c r="N119" s="18" t="n">
        <f aca="false">D119/L119</f>
        <v>0.695484955570042</v>
      </c>
      <c r="O119" s="18" t="n">
        <f aca="false">E119/L119</f>
        <v>0.732469893985659</v>
      </c>
      <c r="P119" s="18" t="n">
        <f aca="false">H119/L119</f>
        <v>0.119586921467046</v>
      </c>
      <c r="Q119" s="13" t="n">
        <v>34831.6</v>
      </c>
      <c r="R119" s="18" t="n">
        <f aca="false">Q119/L119</f>
        <v>1.19503207877312</v>
      </c>
      <c r="S119" s="18" t="n">
        <f aca="false">(Q119+D119+E119+H119)/L119</f>
        <v>2.74257384979586</v>
      </c>
    </row>
    <row r="120" customFormat="false" ht="15" hidden="false" customHeight="true" outlineLevel="0" collapsed="false">
      <c r="A120" s="5" t="s">
        <v>459</v>
      </c>
      <c r="B120" s="34" t="n">
        <v>2024.5</v>
      </c>
      <c r="C120" s="13" t="n">
        <v>28325.7</v>
      </c>
      <c r="D120" s="13" t="n">
        <v>20420.8</v>
      </c>
      <c r="E120" s="13" t="n">
        <v>21524.4</v>
      </c>
      <c r="F120" s="13" t="n">
        <v>13814.2</v>
      </c>
      <c r="G120" s="10" t="n">
        <f aca="false">E120-F120</f>
        <v>7710.2</v>
      </c>
      <c r="H120" s="13" t="n">
        <v>3518.7</v>
      </c>
      <c r="I120" s="10" t="n">
        <f aca="false">C120+D120+E120+H120</f>
        <v>73789.6</v>
      </c>
      <c r="J120" s="13" t="n">
        <v>76487.4</v>
      </c>
      <c r="K120" s="10" t="n">
        <f aca="false">J120-I120</f>
        <v>2697.8</v>
      </c>
      <c r="L120" s="13" t="n">
        <v>29511.7</v>
      </c>
      <c r="M120" s="18" t="n">
        <f aca="false">C120/L120</f>
        <v>0.959812548921275</v>
      </c>
      <c r="N120" s="18" t="n">
        <f aca="false">D120/L120</f>
        <v>0.691956071659715</v>
      </c>
      <c r="O120" s="18" t="n">
        <f aca="false">E120/L120</f>
        <v>0.72935140977985</v>
      </c>
      <c r="P120" s="18" t="n">
        <f aca="false">H120/L120</f>
        <v>0.119230678002284</v>
      </c>
      <c r="Q120" s="13" t="n">
        <v>35464.7</v>
      </c>
      <c r="R120" s="18" t="n">
        <f aca="false">Q120/L120</f>
        <v>1.20171660731168</v>
      </c>
      <c r="S120" s="18" t="n">
        <f aca="false">(Q120+D120+E120+H120)/L120</f>
        <v>2.74225476675352</v>
      </c>
    </row>
    <row r="121" customFormat="false" ht="15" hidden="false" customHeight="true" outlineLevel="0" collapsed="false">
      <c r="A121" s="5" t="s">
        <v>460</v>
      </c>
      <c r="B121" s="34" t="n">
        <v>2024.75</v>
      </c>
      <c r="C121" s="13" t="n">
        <v>28859.1</v>
      </c>
      <c r="D121" s="13" t="n">
        <v>20305.9</v>
      </c>
      <c r="E121" s="13" t="n">
        <v>21452.8</v>
      </c>
      <c r="F121" s="13" t="n">
        <v>13679.3</v>
      </c>
      <c r="G121" s="10" t="n">
        <f aca="false">E121-F121</f>
        <v>7773.5</v>
      </c>
      <c r="H121" s="13" t="n">
        <v>3509.4</v>
      </c>
      <c r="I121" s="10" t="n">
        <f aca="false">C121+D121+E121+H121</f>
        <v>74127.2</v>
      </c>
      <c r="J121" s="13" t="n">
        <v>76884.9</v>
      </c>
      <c r="K121" s="10" t="n">
        <f aca="false">J121-I121</f>
        <v>2757.7</v>
      </c>
      <c r="L121" s="13" t="n">
        <v>29825.2</v>
      </c>
      <c r="M121" s="18" t="n">
        <f aca="false">C121/L121</f>
        <v>0.967607928865523</v>
      </c>
      <c r="N121" s="18" t="n">
        <f aca="false">D121/L121</f>
        <v>0.680830304574655</v>
      </c>
      <c r="O121" s="18" t="n">
        <f aca="false">E121/L121</f>
        <v>0.719284363558333</v>
      </c>
      <c r="P121" s="18" t="n">
        <f aca="false">H121/L121</f>
        <v>0.117665598218956</v>
      </c>
      <c r="Q121" s="13" t="n">
        <v>36218.6</v>
      </c>
      <c r="R121" s="18" t="n">
        <f aca="false">Q121/L121</f>
        <v>1.21436235130024</v>
      </c>
      <c r="S121" s="18" t="n">
        <f aca="false">(Q121+D121+E121+H121)/L121</f>
        <v>2.73214261765219</v>
      </c>
    </row>
    <row r="122" customFormat="false" ht="15" hidden="false" customHeight="true" outlineLevel="0" collapsed="false">
      <c r="A122" s="5" t="s">
        <v>461</v>
      </c>
      <c r="B122" s="34" t="n">
        <v>2025</v>
      </c>
      <c r="C122" s="13" t="n">
        <v>28933</v>
      </c>
      <c r="D122" s="13" t="n">
        <v>20403.4</v>
      </c>
      <c r="E122" s="13" t="n">
        <v>21633.8</v>
      </c>
      <c r="F122" s="13" t="n">
        <v>13813.4</v>
      </c>
      <c r="G122" s="10" t="n">
        <f aca="false">E122-F122</f>
        <v>7820.4</v>
      </c>
      <c r="H122" s="13" t="n">
        <v>3545.2</v>
      </c>
      <c r="I122" s="10" t="n">
        <f aca="false">C122+D122+E122+H122</f>
        <v>74515.4</v>
      </c>
      <c r="J122" s="13" t="n">
        <v>77463.3</v>
      </c>
      <c r="K122" s="10" t="n">
        <f aca="false">J122-I122</f>
        <v>2947.90000000001</v>
      </c>
      <c r="L122" s="13" t="n">
        <v>30042.1</v>
      </c>
      <c r="M122" s="18" t="n">
        <f aca="false">C122/L122</f>
        <v>0.963081808528698</v>
      </c>
      <c r="N122" s="18" t="n">
        <f aca="false">D122/L122</f>
        <v>0.679160245122678</v>
      </c>
      <c r="O122" s="18" t="n">
        <f aca="false">E122/L122</f>
        <v>0.720116103734426</v>
      </c>
      <c r="P122" s="18" t="n">
        <f aca="false">H122/L122</f>
        <v>0.118007729153421</v>
      </c>
      <c r="Q122" s="13" t="n">
        <v>36214.3</v>
      </c>
      <c r="R122" s="18" t="n">
        <f aca="false">Q122/L122</f>
        <v>1.20545168280513</v>
      </c>
      <c r="S122" s="18" t="n">
        <f aca="false">(Q122+D122+E122+H122)/L122</f>
        <v>2.72273576081566</v>
      </c>
    </row>
    <row r="123" customFormat="false" ht="15" hidden="false" customHeight="true" outlineLevel="0" collapsed="false">
      <c r="A123" s="5" t="s">
        <v>462</v>
      </c>
      <c r="B123" s="34" t="n">
        <v>2025.25</v>
      </c>
      <c r="C123" s="13" t="n">
        <v>28976.2</v>
      </c>
      <c r="D123" s="13" t="n">
        <v>20559.2</v>
      </c>
      <c r="E123" s="13" t="n">
        <v>21817.5</v>
      </c>
      <c r="F123" s="13" t="n">
        <v>13937.2</v>
      </c>
      <c r="G123" s="10" t="n">
        <f aca="false">E123-F123</f>
        <v>7880.3</v>
      </c>
      <c r="H123" s="13" t="n">
        <v>3617.9</v>
      </c>
      <c r="I123" s="10" t="n">
        <f aca="false">C123+D123+E123+H123</f>
        <v>74970.8</v>
      </c>
      <c r="J123" s="13" t="n">
        <v>77993.3</v>
      </c>
      <c r="K123" s="10" t="n">
        <f aca="false">J123-I123</f>
        <v>3022.50000000001</v>
      </c>
      <c r="L123" s="13" t="n">
        <v>30485.7</v>
      </c>
      <c r="M123" s="18" t="n">
        <f aca="false">C123/L123</f>
        <v>0.950484981483122</v>
      </c>
      <c r="N123" s="18" t="n">
        <f aca="false">D123/L123</f>
        <v>0.674388319769597</v>
      </c>
      <c r="O123" s="18" t="n">
        <f aca="false">E123/L123</f>
        <v>0.715663409401785</v>
      </c>
      <c r="P123" s="18" t="n">
        <f aca="false">H123/L123</f>
        <v>0.118675313343633</v>
      </c>
      <c r="Q123" s="13" t="n">
        <v>36211.5</v>
      </c>
      <c r="R123" s="18" t="n">
        <f aca="false">Q123/L123</f>
        <v>1.18781920703805</v>
      </c>
      <c r="S123" s="18" t="n">
        <f aca="false">(Q123+D123+E123+H123)/L123</f>
        <v>2.69654624955307</v>
      </c>
    </row>
    <row r="124" customFormat="false" ht="15" hidden="false" customHeight="true" outlineLevel="0" collapsed="false">
      <c r="A124" s="5" t="s">
        <v>463</v>
      </c>
      <c r="B124" s="34" t="n">
        <v>2025.5</v>
      </c>
      <c r="C124" s="13" t="n">
        <v>30298.3</v>
      </c>
      <c r="D124" s="13" t="n">
        <v>20774.1</v>
      </c>
      <c r="E124" s="13" t="n">
        <v>22030.9</v>
      </c>
      <c r="F124" s="13" t="n">
        <v>14087.2</v>
      </c>
      <c r="G124" s="10" t="n">
        <f aca="false">E124-F124</f>
        <v>7943.7</v>
      </c>
      <c r="H124" s="13" t="n">
        <v>3667.3</v>
      </c>
      <c r="I124" s="10" t="n">
        <f aca="false">C124+D124+E124+H124</f>
        <v>76770.6</v>
      </c>
      <c r="J124" s="13" t="n">
        <v>79710.8</v>
      </c>
      <c r="K124" s="10" t="n">
        <f aca="false">J124-I124</f>
        <v>2940.20000000001</v>
      </c>
      <c r="L124" s="13" t="n">
        <v>31098</v>
      </c>
      <c r="M124" s="18" t="n">
        <f aca="false">C124/L124</f>
        <v>0.974284519904817</v>
      </c>
      <c r="N124" s="18" t="n">
        <f aca="false">D124/L124</f>
        <v>0.668020451475979</v>
      </c>
      <c r="O124" s="18" t="n">
        <f aca="false">E124/L124</f>
        <v>0.708434626020966</v>
      </c>
      <c r="P124" s="18" t="n">
        <f aca="false">H124/L124</f>
        <v>0.11792719789054</v>
      </c>
      <c r="Q124" s="13" t="n">
        <v>37637.6</v>
      </c>
      <c r="R124" s="18" t="n">
        <f aca="false">Q124/L124</f>
        <v>1.21029005080713</v>
      </c>
      <c r="S124" s="18" t="n">
        <f aca="false">(Q124+D124+E124+H124)/L124</f>
        <v>2.70467232619461</v>
      </c>
    </row>
    <row r="125" customFormat="false" ht="15" hidden="false" customHeight="true" outlineLevel="0" collapsed="false">
      <c r="A125" s="5" t="s">
        <v>464</v>
      </c>
      <c r="B125" s="34" t="n">
        <v>2025.75</v>
      </c>
      <c r="C125" s="13" t="n">
        <v>30870.7</v>
      </c>
      <c r="D125" s="13" t="n">
        <v>20933.7</v>
      </c>
      <c r="E125" s="13" t="n">
        <v>22198.5</v>
      </c>
      <c r="F125" s="13" t="n">
        <v>14141.5</v>
      </c>
      <c r="G125" s="10" t="n">
        <f aca="false">E125-F125</f>
        <v>8057</v>
      </c>
      <c r="H125" s="13" t="n">
        <v>3670.2</v>
      </c>
      <c r="I125" s="10" t="n">
        <f aca="false">C125+D125+E125+H125</f>
        <v>77673.1</v>
      </c>
      <c r="J125" s="13" t="n">
        <v>80711.4</v>
      </c>
      <c r="K125" s="10" t="n">
        <f aca="false">J125-I125</f>
        <v>3038.3</v>
      </c>
      <c r="L125" s="13" t="n">
        <v>31422.5</v>
      </c>
      <c r="M125" s="18" t="n">
        <f aca="false">C125/L125</f>
        <v>0.982439334871509</v>
      </c>
      <c r="N125" s="18" t="n">
        <f aca="false">D125/L125</f>
        <v>0.666200970642056</v>
      </c>
      <c r="O125" s="18" t="n">
        <f aca="false">E125/L125</f>
        <v>0.706452382846686</v>
      </c>
      <c r="P125" s="18" t="n">
        <f aca="false">H125/L125</f>
        <v>0.116801654865144</v>
      </c>
      <c r="Q125" s="13" t="n">
        <v>38514</v>
      </c>
      <c r="R125" s="18" t="n">
        <f aca="false">Q125/L125</f>
        <v>1.22568223406795</v>
      </c>
      <c r="S125" s="18" t="n">
        <f aca="false">(Q125+D125+E125+H125)/L125</f>
        <v>2.71513724242183</v>
      </c>
    </row>
    <row r="126" customFormat="false" ht="15" hidden="false" customHeight="true" outlineLevel="0" collapsed="false">
      <c r="A126" s="5" t="s">
        <v>465</v>
      </c>
      <c r="B126" s="34" t="n">
        <v>2026</v>
      </c>
      <c r="C126" s="13" t="n">
        <v>31454.8</v>
      </c>
      <c r="D126" s="13" t="n">
        <v>21069.3</v>
      </c>
      <c r="E126" s="13" t="n">
        <v>22587.7</v>
      </c>
      <c r="F126" s="13" t="n">
        <v>14453.8</v>
      </c>
      <c r="G126" s="10" t="n">
        <f aca="false">E126-F126</f>
        <v>8133.9</v>
      </c>
      <c r="H126" s="13" t="n">
        <v>3725.4</v>
      </c>
      <c r="I126" s="10" t="n">
        <f aca="false">C126+D126+E126+H126</f>
        <v>78837.2</v>
      </c>
      <c r="J126" s="13" t="n">
        <v>81855.3</v>
      </c>
      <c r="K126" s="10" t="n">
        <f aca="false">J126-I126</f>
        <v>3018.10000000001</v>
      </c>
      <c r="L126" s="13" t="n">
        <v>31865.7</v>
      </c>
      <c r="M126" s="18" t="n">
        <f aca="false">C126/L126</f>
        <v>0.987105257377054</v>
      </c>
      <c r="N126" s="18" t="n">
        <f aca="false">D126/L126</f>
        <v>0.66119055912784</v>
      </c>
      <c r="O126" s="18" t="n">
        <f aca="false">E126/L126</f>
        <v>0.708840540141908</v>
      </c>
      <c r="P126" s="18" t="n">
        <f aca="false">H126/L126</f>
        <v>0.116909404155565</v>
      </c>
      <c r="Q126" s="13" t="n">
        <v>39065.4</v>
      </c>
      <c r="R126" s="18" t="n">
        <f aca="false">Q126/L126</f>
        <v>1.22593886216214</v>
      </c>
      <c r="S126" s="18" t="n">
        <f aca="false">(Q126+D126+E126+H126)/L126</f>
        <v>2.71287936558745</v>
      </c>
    </row>
    <row r="129" customFormat="false" ht="15" hidden="false" customHeight="true" outlineLevel="0" collapsed="false">
      <c r="A129" s="4" t="s">
        <v>466</v>
      </c>
    </row>
    <row r="130" customFormat="false" ht="15" hidden="false" customHeight="true" outlineLevel="0" collapsed="false">
      <c r="B130" s="24" t="s">
        <v>467</v>
      </c>
      <c r="C130" s="24" t="s">
        <v>468</v>
      </c>
      <c r="D130" s="24" t="s">
        <v>469</v>
      </c>
      <c r="E130" s="24" t="s">
        <v>15</v>
      </c>
    </row>
    <row r="131" customFormat="false" ht="15" hidden="false" customHeight="true" outlineLevel="0" collapsed="false">
      <c r="A131" s="5" t="s">
        <v>470</v>
      </c>
      <c r="B131" s="6" t="n">
        <v>3734.073</v>
      </c>
      <c r="C131" s="6" t="n">
        <v>4592.212</v>
      </c>
      <c r="D131" s="6" t="n">
        <v>13116.692</v>
      </c>
      <c r="E131" s="6" t="n">
        <v>30167.224</v>
      </c>
    </row>
    <row r="132" customFormat="false" ht="15" hidden="false" customHeight="true" outlineLevel="0" collapsed="false">
      <c r="A132" s="5" t="s">
        <v>471</v>
      </c>
      <c r="B132" s="6" t="n">
        <v>1447.392</v>
      </c>
      <c r="C132" s="6" t="n">
        <v>3313.088</v>
      </c>
      <c r="D132" s="6" t="n">
        <v>5003.414</v>
      </c>
      <c r="E132" s="6" t="n">
        <v>7207.74</v>
      </c>
    </row>
    <row r="133" customFormat="false" ht="15" hidden="false" customHeight="true" outlineLevel="0" collapsed="false">
      <c r="A133" s="4" t="s">
        <v>114</v>
      </c>
      <c r="B133" s="7" t="n">
        <f aca="false">B131+B132</f>
        <v>5181.465</v>
      </c>
      <c r="C133" s="7" t="n">
        <f aca="false">C131+C132</f>
        <v>7905.3</v>
      </c>
      <c r="D133" s="7" t="n">
        <f aca="false">D131+D132</f>
        <v>18120.106</v>
      </c>
      <c r="E133" s="7" t="n">
        <f aca="false">E131+E132</f>
        <v>37374.964</v>
      </c>
    </row>
    <row r="134" customFormat="false" ht="15" hidden="false" customHeight="true" outlineLevel="0" collapsed="false">
      <c r="A134" s="5" t="s">
        <v>472</v>
      </c>
      <c r="B134" s="28" t="n">
        <f aca="false">E8</f>
        <v>4517.7</v>
      </c>
      <c r="C134" s="28" t="n">
        <f aca="false">E44</f>
        <v>8273.2</v>
      </c>
      <c r="D134" s="28" t="n">
        <f aca="false">E84</f>
        <v>13302.7</v>
      </c>
      <c r="E134" s="28" t="n">
        <f aca="false">E124</f>
        <v>22030.9</v>
      </c>
    </row>
    <row r="135" customFormat="false" ht="15" hidden="false" customHeight="true" outlineLevel="0" collapsed="false">
      <c r="A135" s="5" t="s">
        <v>473</v>
      </c>
      <c r="B135" s="28" t="n">
        <f aca="false">D8</f>
        <v>5236.8</v>
      </c>
      <c r="C135" s="28" t="n">
        <f aca="false">D44</f>
        <v>11756.8</v>
      </c>
      <c r="D135" s="28" t="n">
        <f aca="false">D84</f>
        <v>14098.2</v>
      </c>
      <c r="E135" s="28" t="n">
        <f aca="false">D124</f>
        <v>20774.1</v>
      </c>
    </row>
    <row r="136" customFormat="false" ht="15" hidden="false" customHeight="true" outlineLevel="0" collapsed="false">
      <c r="A136" s="5" t="s">
        <v>474</v>
      </c>
      <c r="B136" s="28" t="n">
        <f aca="false">H8</f>
        <v>1041.9</v>
      </c>
      <c r="C136" s="28" t="n">
        <f aca="false">H44</f>
        <v>2645.8</v>
      </c>
      <c r="D136" s="28" t="n">
        <f aca="false">H84</f>
        <v>3251.8</v>
      </c>
      <c r="E136" s="28" t="n">
        <f aca="false">H124</f>
        <v>3667.3</v>
      </c>
    </row>
    <row r="137" customFormat="false" ht="15" hidden="false" customHeight="true" outlineLevel="0" collapsed="false">
      <c r="A137" s="4" t="s">
        <v>475</v>
      </c>
      <c r="B137" s="7" t="n">
        <f aca="false">SUM(B133:B136)</f>
        <v>15977.865</v>
      </c>
      <c r="C137" s="7" t="n">
        <f aca="false">SUM(C133:C136)</f>
        <v>30581.1</v>
      </c>
      <c r="D137" s="7" t="n">
        <f aca="false">SUM(D133:D136)</f>
        <v>48772.806</v>
      </c>
      <c r="E137" s="7" t="n">
        <f aca="false">SUM(E133:E136)</f>
        <v>83847.264</v>
      </c>
    </row>
    <row r="138" customFormat="false" ht="15" hidden="false" customHeight="true" outlineLevel="0" collapsed="false">
      <c r="A138" s="5" t="s">
        <v>476</v>
      </c>
      <c r="B138" s="28" t="n">
        <f aca="false">C8-B131</f>
        <v>43.7270000000003</v>
      </c>
      <c r="C138" s="28" t="n">
        <f aca="false">C44-C131</f>
        <v>9.18799999999919</v>
      </c>
      <c r="D138" s="28" t="n">
        <f aca="false">C84-D131</f>
        <v>7.10800000000018</v>
      </c>
      <c r="E138" s="28" t="n">
        <f aca="false">C124-E131</f>
        <v>131.076000000001</v>
      </c>
    </row>
    <row r="140" customFormat="false" ht="15" hidden="false" customHeight="true" outlineLevel="0" collapsed="false">
      <c r="A140" s="3" t="s">
        <v>477</v>
      </c>
    </row>
    <row r="141" customFormat="false" ht="15" hidden="false" customHeight="true" outlineLevel="0" collapsed="false">
      <c r="A141" s="3" t="s">
        <v>478</v>
      </c>
    </row>
    <row r="142" customFormat="false" ht="15" hidden="false" customHeight="true" outlineLevel="0" collapsed="false">
      <c r="A142" s="3" t="s">
        <v>479</v>
      </c>
    </row>
    <row r="144" customFormat="false" ht="15" hidden="false" customHeight="true" outlineLevel="0" collapsed="false">
      <c r="A144" s="4" t="s">
        <v>480</v>
      </c>
      <c r="B144" s="24" t="s">
        <v>467</v>
      </c>
      <c r="C144" s="24" t="s">
        <v>481</v>
      </c>
      <c r="D144" s="24" t="s">
        <v>468</v>
      </c>
      <c r="E144" s="24" t="s">
        <v>482</v>
      </c>
      <c r="F144" s="24" t="s">
        <v>469</v>
      </c>
      <c r="G144" s="24" t="s">
        <v>483</v>
      </c>
      <c r="H144" s="24" t="s">
        <v>15</v>
      </c>
    </row>
    <row r="145" customFormat="false" ht="15" hidden="false" customHeight="true" outlineLevel="0" collapsed="false">
      <c r="A145" s="5" t="s">
        <v>484</v>
      </c>
      <c r="B145" s="18" t="n">
        <f aca="false">R8</f>
        <v>0.642546179009765</v>
      </c>
      <c r="C145" s="18" t="n">
        <f aca="false">R24</f>
        <v>0.549921497935687</v>
      </c>
      <c r="D145" s="18" t="n">
        <f aca="false">R44</f>
        <v>0.603586809307139</v>
      </c>
      <c r="E145" s="18" t="n">
        <f aca="false">R64</f>
        <v>0.895651714481957</v>
      </c>
      <c r="F145" s="18" t="n">
        <f aca="false">R84</f>
        <v>0.986359881749413</v>
      </c>
      <c r="G145" s="18" t="n">
        <f aca="false">R104</f>
        <v>1.24147177530823</v>
      </c>
      <c r="H145" s="18" t="n">
        <f aca="false">R124</f>
        <v>1.21029005080713</v>
      </c>
    </row>
    <row r="146" customFormat="false" ht="15" hidden="false" customHeight="true" outlineLevel="0" collapsed="false">
      <c r="A146" s="5" t="s">
        <v>485</v>
      </c>
      <c r="B146" s="18" t="n">
        <f aca="false">O8</f>
        <v>0.555586983791229</v>
      </c>
      <c r="C146" s="18" t="n">
        <f aca="false">O24</f>
        <v>0.645112519625516</v>
      </c>
      <c r="D146" s="18" t="n">
        <f aca="false">O44</f>
        <v>0.629494924900705</v>
      </c>
      <c r="E146" s="18" t="n">
        <f aca="false">O64</f>
        <v>0.689464785755799</v>
      </c>
      <c r="F146" s="18" t="n">
        <f aca="false">O84</f>
        <v>0.722909964350926</v>
      </c>
      <c r="G146" s="18" t="n">
        <f aca="false">O104</f>
        <v>0.847805053353237</v>
      </c>
      <c r="H146" s="18" t="n">
        <f aca="false">O124</f>
        <v>0.708434626020966</v>
      </c>
    </row>
    <row r="147" customFormat="false" ht="15" hidden="false" customHeight="true" outlineLevel="0" collapsed="false">
      <c r="A147" s="5" t="s">
        <v>330</v>
      </c>
      <c r="B147" s="18" t="n">
        <f aca="false">N8</f>
        <v>0.64402193964139</v>
      </c>
      <c r="C147" s="18" t="n">
        <f aca="false">N24</f>
        <v>0.692019925956078</v>
      </c>
      <c r="D147" s="18" t="n">
        <f aca="false">N44</f>
        <v>0.894556632629769</v>
      </c>
      <c r="E147" s="18" t="n">
        <f aca="false">N64</f>
        <v>0.910861467744492</v>
      </c>
      <c r="F147" s="18" t="n">
        <f aca="false">N84</f>
        <v>0.766139900878185</v>
      </c>
      <c r="G147" s="18" t="n">
        <f aca="false">N104</f>
        <v>0.754980556937764</v>
      </c>
      <c r="H147" s="18" t="n">
        <f aca="false">N124</f>
        <v>0.668020451475979</v>
      </c>
    </row>
    <row r="148" customFormat="false" ht="15" hidden="false" customHeight="true" outlineLevel="0" collapsed="false">
      <c r="A148" s="5" t="s">
        <v>334</v>
      </c>
      <c r="B148" s="18" t="n">
        <f aca="false">P8</f>
        <v>0.128132916840888</v>
      </c>
      <c r="C148" s="18" t="n">
        <f aca="false">P24</f>
        <v>0.116783935182493</v>
      </c>
      <c r="D148" s="18" t="n">
        <f aca="false">P44</f>
        <v>0.201314808333207</v>
      </c>
      <c r="E148" s="18" t="n">
        <f aca="false">P64</f>
        <v>0.212434617213505</v>
      </c>
      <c r="F148" s="18" t="n">
        <f aca="false">P84</f>
        <v>0.17671289453091</v>
      </c>
      <c r="G148" s="18" t="n">
        <f aca="false">P104</f>
        <v>0.154710565599602</v>
      </c>
      <c r="H148" s="18" t="n">
        <f aca="false">P124</f>
        <v>0.11792719789054</v>
      </c>
    </row>
    <row r="149" customFormat="false" ht="15" hidden="false" customHeight="true" outlineLevel="0" collapsed="false">
      <c r="A149" s="4" t="s">
        <v>486</v>
      </c>
      <c r="B149" s="27" t="n">
        <f aca="false">SUM(B145:B148)</f>
        <v>1.97028801928327</v>
      </c>
      <c r="C149" s="27" t="n">
        <f aca="false">SUM(C145:C148)</f>
        <v>2.00383787869977</v>
      </c>
      <c r="D149" s="27" t="n">
        <f aca="false">SUM(D145:D148)</f>
        <v>2.32895317517082</v>
      </c>
      <c r="E149" s="27" t="n">
        <f aca="false">SUM(E145:E148)</f>
        <v>2.70841258519575</v>
      </c>
      <c r="F149" s="27" t="n">
        <f aca="false">SUM(F145:F148)</f>
        <v>2.65212264150943</v>
      </c>
      <c r="G149" s="27" t="n">
        <f aca="false">SUM(G145:G148)</f>
        <v>2.99896795119884</v>
      </c>
      <c r="H149" s="27" t="n">
        <f aca="false">SUM(H145:H148)</f>
        <v>2.70467232619461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8"/>
    <col collapsed="false" customWidth="true" hidden="false" outlineLevel="0" max="9" min="2" style="1" width="13"/>
    <col collapsed="false" customWidth="true" hidden="false" outlineLevel="0" max="12" min="11" style="1" width="11"/>
  </cols>
  <sheetData>
    <row r="1" customFormat="false" ht="15.75" hidden="false" customHeight="true" outlineLevel="0" collapsed="false">
      <c r="A1" s="2" t="s">
        <v>487</v>
      </c>
    </row>
    <row r="2" customFormat="false" ht="15" hidden="false" customHeight="true" outlineLevel="0" collapsed="false">
      <c r="A2" s="3" t="s">
        <v>488</v>
      </c>
    </row>
    <row r="4" customFormat="false" ht="15" hidden="false" customHeight="true" outlineLevel="0" collapsed="false">
      <c r="A4" s="24" t="s">
        <v>328</v>
      </c>
      <c r="B4" s="37" t="s">
        <v>489</v>
      </c>
      <c r="C4" s="37" t="s">
        <v>490</v>
      </c>
      <c r="D4" s="37" t="s">
        <v>491</v>
      </c>
      <c r="E4" s="37" t="s">
        <v>492</v>
      </c>
      <c r="F4" s="37" t="s">
        <v>493</v>
      </c>
      <c r="G4" s="37" t="s">
        <v>494</v>
      </c>
      <c r="H4" s="37" t="s">
        <v>495</v>
      </c>
      <c r="I4" s="37" t="s">
        <v>496</v>
      </c>
      <c r="K4" s="24" t="s">
        <v>497</v>
      </c>
      <c r="L4" s="24" t="s">
        <v>498</v>
      </c>
    </row>
    <row r="5" customFormat="false" ht="15" hidden="false" customHeight="true" outlineLevel="0" collapsed="false">
      <c r="A5" s="38" t="n">
        <v>1960</v>
      </c>
      <c r="B5" s="13" t="n">
        <v>286.3</v>
      </c>
      <c r="C5" s="13" t="n">
        <v>542.4</v>
      </c>
      <c r="D5" s="10" t="n">
        <f aca="false">B5/C5*100</f>
        <v>52.7839233038348</v>
      </c>
      <c r="G5" s="39" t="n">
        <v>2.6</v>
      </c>
      <c r="K5" s="28" t="n">
        <f aca="false">B5/1000</f>
        <v>0.2863</v>
      </c>
      <c r="L5" s="28" t="n">
        <f aca="false">C5/1000</f>
        <v>0.5424</v>
      </c>
    </row>
    <row r="6" customFormat="false" ht="15" hidden="false" customHeight="true" outlineLevel="0" collapsed="false">
      <c r="A6" s="38" t="n">
        <v>1965</v>
      </c>
      <c r="B6" s="13" t="n">
        <v>317.3</v>
      </c>
      <c r="C6" s="13" t="n">
        <v>742.3</v>
      </c>
      <c r="D6" s="10" t="n">
        <f aca="false">B6/C6*100</f>
        <v>42.7455206789708</v>
      </c>
      <c r="E6" s="28" t="n">
        <f aca="false">(B6-B5)/B5*100</f>
        <v>10.8278030038421</v>
      </c>
      <c r="F6" s="28" t="n">
        <f aca="false">(C6-C5)/C5*100</f>
        <v>36.8547197640118</v>
      </c>
      <c r="G6" s="6" t="n">
        <v>6.5</v>
      </c>
      <c r="H6" s="28" t="n">
        <f aca="false">E6-F6</f>
        <v>-26.0269167601697</v>
      </c>
      <c r="K6" s="28" t="n">
        <f aca="false">B6/1000</f>
        <v>0.3173</v>
      </c>
      <c r="L6" s="28" t="n">
        <f aca="false">C6/1000</f>
        <v>0.7423</v>
      </c>
    </row>
    <row r="7" customFormat="false" ht="15" hidden="false" customHeight="true" outlineLevel="0" collapsed="false">
      <c r="A7" s="38" t="n">
        <v>1970</v>
      </c>
      <c r="B7" s="13" t="n">
        <v>370.9</v>
      </c>
      <c r="C7" s="13" t="n">
        <v>1073.3</v>
      </c>
      <c r="D7" s="10" t="n">
        <f aca="false">B7/C7*100</f>
        <v>34.5569738190627</v>
      </c>
      <c r="E7" s="28" t="n">
        <f aca="false">(B7-B6)/B6*100</f>
        <v>16.8925307280176</v>
      </c>
      <c r="F7" s="28" t="n">
        <f aca="false">(C7-C6)/C6*100</f>
        <v>44.5911356594369</v>
      </c>
      <c r="G7" s="6" t="n">
        <v>0.2</v>
      </c>
      <c r="H7" s="28" t="n">
        <f aca="false">E7-F7</f>
        <v>-27.6986049314193</v>
      </c>
      <c r="K7" s="28" t="n">
        <f aca="false">B7/1000</f>
        <v>0.3709</v>
      </c>
      <c r="L7" s="28" t="n">
        <f aca="false">C7/1000</f>
        <v>1.0733</v>
      </c>
    </row>
    <row r="8" customFormat="false" ht="15" hidden="false" customHeight="true" outlineLevel="0" collapsed="false">
      <c r="A8" s="38" t="n">
        <v>1975</v>
      </c>
      <c r="B8" s="13" t="n">
        <v>533.2</v>
      </c>
      <c r="C8" s="13" t="n">
        <v>1684.9</v>
      </c>
      <c r="D8" s="10" t="n">
        <f aca="false">B8/C8*100</f>
        <v>31.6457950026708</v>
      </c>
      <c r="E8" s="28" t="n">
        <f aca="false">(B8-B7)/B7*100</f>
        <v>43.7584254516042</v>
      </c>
      <c r="F8" s="28" t="n">
        <f aca="false">(C8-C7)/C7*100</f>
        <v>56.9831361222398</v>
      </c>
      <c r="G8" s="6" t="n">
        <v>-0.2</v>
      </c>
      <c r="H8" s="28" t="n">
        <f aca="false">E8-F8</f>
        <v>-13.2247106706356</v>
      </c>
      <c r="K8" s="28" t="n">
        <f aca="false">B8/1000</f>
        <v>0.5332</v>
      </c>
      <c r="L8" s="28" t="n">
        <f aca="false">C8/1000</f>
        <v>1.6849</v>
      </c>
    </row>
    <row r="9" customFormat="false" ht="15" hidden="false" customHeight="true" outlineLevel="0" collapsed="false">
      <c r="A9" s="38" t="n">
        <v>1980</v>
      </c>
      <c r="B9" s="13" t="n">
        <v>907.7</v>
      </c>
      <c r="C9" s="13" t="n">
        <v>2857.3</v>
      </c>
      <c r="D9" s="10" t="n">
        <f aca="false">B9/C9*100</f>
        <v>31.7677527735975</v>
      </c>
      <c r="E9" s="28" t="n">
        <f aca="false">(B9-B8)/B8*100</f>
        <v>70.2363090772693</v>
      </c>
      <c r="F9" s="28" t="n">
        <f aca="false">(C9-C8)/C8*100</f>
        <v>69.58276455576</v>
      </c>
      <c r="G9" s="6" t="n">
        <v>-0.3</v>
      </c>
      <c r="H9" s="28" t="n">
        <f aca="false">E9-F9</f>
        <v>0.653544521509318</v>
      </c>
      <c r="K9" s="28" t="n">
        <f aca="false">B9/1000</f>
        <v>0.9077</v>
      </c>
      <c r="L9" s="28" t="n">
        <f aca="false">C9/1000</f>
        <v>2.8573</v>
      </c>
    </row>
    <row r="10" customFormat="false" ht="15" hidden="false" customHeight="true" outlineLevel="0" collapsed="false">
      <c r="A10" s="38" t="n">
        <v>1985</v>
      </c>
      <c r="B10" s="13" t="n">
        <v>1823.1</v>
      </c>
      <c r="C10" s="13" t="n">
        <v>4339</v>
      </c>
      <c r="D10" s="10" t="n">
        <f aca="false">B10/C10*100</f>
        <v>42.0165936851809</v>
      </c>
      <c r="E10" s="28" t="n">
        <f aca="false">(B10-B9)/B9*100</f>
        <v>100.848297895781</v>
      </c>
      <c r="F10" s="28" t="n">
        <f aca="false">(C10-C9)/C9*100</f>
        <v>51.8566478843663</v>
      </c>
      <c r="G10" s="6" t="n">
        <v>4.2</v>
      </c>
      <c r="H10" s="28" t="n">
        <f aca="false">E10-F10</f>
        <v>48.9916500114142</v>
      </c>
      <c r="K10" s="28" t="n">
        <f aca="false">B10/1000</f>
        <v>1.8231</v>
      </c>
      <c r="L10" s="28" t="n">
        <f aca="false">C10/1000</f>
        <v>4.339</v>
      </c>
    </row>
    <row r="11" customFormat="false" ht="15" hidden="false" customHeight="true" outlineLevel="0" collapsed="false">
      <c r="A11" s="38" t="n">
        <v>1990</v>
      </c>
      <c r="B11" s="13" t="n">
        <v>3233.3</v>
      </c>
      <c r="C11" s="13" t="n">
        <v>5963.1</v>
      </c>
      <c r="D11" s="10" t="n">
        <f aca="false">B11/C11*100</f>
        <v>54.221797387265</v>
      </c>
      <c r="E11" s="28" t="n">
        <f aca="false">(B11-B10)/B10*100</f>
        <v>77.3517634797872</v>
      </c>
      <c r="F11" s="28" t="n">
        <f aca="false">(C11-C10)/C10*100</f>
        <v>37.4302834754552</v>
      </c>
      <c r="G11" s="6" t="n">
        <v>1.9</v>
      </c>
      <c r="H11" s="28" t="n">
        <f aca="false">E11-F11</f>
        <v>39.921480004332</v>
      </c>
      <c r="K11" s="28" t="n">
        <f aca="false">B11/1000</f>
        <v>3.2333</v>
      </c>
      <c r="L11" s="28" t="n">
        <f aca="false">C11/1000</f>
        <v>5.9631</v>
      </c>
    </row>
    <row r="12" customFormat="false" ht="15" hidden="false" customHeight="true" outlineLevel="0" collapsed="false">
      <c r="A12" s="38" t="n">
        <v>1995</v>
      </c>
      <c r="B12" s="13" t="n">
        <v>4974</v>
      </c>
      <c r="C12" s="13" t="n">
        <v>7639.7</v>
      </c>
      <c r="D12" s="10" t="n">
        <f aca="false">B12/C12*100</f>
        <v>65.107268610024</v>
      </c>
      <c r="E12" s="28" t="n">
        <f aca="false">(B12-B11)/B11*100</f>
        <v>53.8366374911082</v>
      </c>
      <c r="F12" s="28" t="n">
        <f aca="false">(C12-C11)/C11*100</f>
        <v>28.1162482601331</v>
      </c>
      <c r="G12" s="6" t="n">
        <v>2.7</v>
      </c>
      <c r="H12" s="28" t="n">
        <f aca="false">E12-F12</f>
        <v>25.720389230975</v>
      </c>
      <c r="K12" s="28" t="n">
        <f aca="false">B12/1000</f>
        <v>4.974</v>
      </c>
      <c r="L12" s="28" t="n">
        <f aca="false">C12/1000</f>
        <v>7.6397</v>
      </c>
    </row>
    <row r="13" customFormat="false" ht="15" hidden="false" customHeight="true" outlineLevel="0" collapsed="false">
      <c r="A13" s="38" t="n">
        <v>2000</v>
      </c>
      <c r="B13" s="13" t="n">
        <v>5674.2</v>
      </c>
      <c r="C13" s="13" t="n">
        <v>10251</v>
      </c>
      <c r="D13" s="10" t="n">
        <f aca="false">B13/C13*100</f>
        <v>55.3526485220954</v>
      </c>
      <c r="E13" s="28" t="n">
        <f aca="false">(B13-B12)/B12*100</f>
        <v>14.0772014475271</v>
      </c>
      <c r="F13" s="28" t="n">
        <f aca="false">(C13-C12)/C12*100</f>
        <v>34.1806615443015</v>
      </c>
      <c r="G13" s="6" t="n">
        <v>4.1</v>
      </c>
      <c r="H13" s="28" t="n">
        <f aca="false">E13-F13</f>
        <v>-20.1034600967744</v>
      </c>
      <c r="I13" s="13" t="n">
        <v>236.2</v>
      </c>
      <c r="K13" s="28" t="n">
        <f aca="false">B13/1000</f>
        <v>5.6742</v>
      </c>
      <c r="L13" s="28" t="n">
        <f aca="false">C13/1000</f>
        <v>10.251</v>
      </c>
    </row>
    <row r="14" customFormat="false" ht="15" hidden="false" customHeight="true" outlineLevel="0" collapsed="false">
      <c r="A14" s="38" t="n">
        <v>2001</v>
      </c>
      <c r="B14" s="13" t="n">
        <v>5807.5</v>
      </c>
      <c r="C14" s="13" t="n">
        <v>10581.9</v>
      </c>
      <c r="D14" s="10" t="n">
        <f aca="false">B14/C14*100</f>
        <v>54.8814485111369</v>
      </c>
      <c r="E14" s="28" t="n">
        <f aca="false">(B14-B13)/B13*100</f>
        <v>2.34922984737937</v>
      </c>
      <c r="F14" s="28" t="n">
        <f aca="false">(C14-C13)/C13*100</f>
        <v>3.22797775826748</v>
      </c>
      <c r="G14" s="6" t="n">
        <v>1</v>
      </c>
      <c r="H14" s="28" t="n">
        <f aca="false">E14-F14</f>
        <v>-0.878747910888113</v>
      </c>
      <c r="I14" s="13" t="n">
        <v>128.2</v>
      </c>
      <c r="K14" s="28" t="n">
        <f aca="false">B14/1000</f>
        <v>5.8075</v>
      </c>
      <c r="L14" s="28" t="n">
        <f aca="false">C14/1000</f>
        <v>10.5819</v>
      </c>
    </row>
    <row r="15" customFormat="false" ht="15" hidden="false" customHeight="true" outlineLevel="0" collapsed="false">
      <c r="A15" s="38" t="n">
        <v>2002</v>
      </c>
      <c r="B15" s="13" t="n">
        <v>6228.2</v>
      </c>
      <c r="C15" s="13" t="n">
        <v>10929.1</v>
      </c>
      <c r="D15" s="10" t="n">
        <f aca="false">B15/C15*100</f>
        <v>56.9873091105398</v>
      </c>
      <c r="E15" s="28" t="n">
        <f aca="false">(B15-B14)/B14*100</f>
        <v>7.24408092983211</v>
      </c>
      <c r="F15" s="28" t="n">
        <f aca="false">(C15-C14)/C14*100</f>
        <v>3.28107428722631</v>
      </c>
      <c r="G15" s="6" t="n">
        <v>1.7</v>
      </c>
      <c r="H15" s="28" t="n">
        <f aca="false">E15-F15</f>
        <v>3.9630066426058</v>
      </c>
      <c r="I15" s="13" t="n">
        <v>-157.8</v>
      </c>
      <c r="K15" s="28" t="n">
        <f aca="false">B15/1000</f>
        <v>6.2282</v>
      </c>
      <c r="L15" s="28" t="n">
        <f aca="false">C15/1000</f>
        <v>10.9291</v>
      </c>
    </row>
    <row r="16" customFormat="false" ht="15" hidden="false" customHeight="true" outlineLevel="0" collapsed="false">
      <c r="A16" s="38" t="n">
        <v>2003</v>
      </c>
      <c r="B16" s="13" t="n">
        <v>6783.3</v>
      </c>
      <c r="C16" s="13" t="n">
        <v>11456.5</v>
      </c>
      <c r="D16" s="10" t="n">
        <f aca="false">B16/C16*100</f>
        <v>59.2091825601187</v>
      </c>
      <c r="E16" s="28" t="n">
        <f aca="false">(B16-B15)/B15*100</f>
        <v>8.912687453839</v>
      </c>
      <c r="F16" s="28" t="n">
        <f aca="false">(C16-C15)/C15*100</f>
        <v>4.82564895554071</v>
      </c>
      <c r="G16" s="6" t="n">
        <v>2.8</v>
      </c>
      <c r="H16" s="28" t="n">
        <f aca="false">E16-F16</f>
        <v>4.08703849829829</v>
      </c>
      <c r="I16" s="13" t="n">
        <v>-377.6</v>
      </c>
      <c r="K16" s="28" t="n">
        <f aca="false">B16/1000</f>
        <v>6.7833</v>
      </c>
      <c r="L16" s="28" t="n">
        <f aca="false">C16/1000</f>
        <v>11.4565</v>
      </c>
    </row>
    <row r="17" customFormat="false" ht="15" hidden="false" customHeight="true" outlineLevel="0" collapsed="false">
      <c r="A17" s="38" t="n">
        <v>2004</v>
      </c>
      <c r="B17" s="13" t="n">
        <v>7379.1</v>
      </c>
      <c r="C17" s="13" t="n">
        <v>12217.2</v>
      </c>
      <c r="D17" s="10" t="n">
        <f aca="false">B17/C17*100</f>
        <v>60.3992731558786</v>
      </c>
      <c r="E17" s="28" t="n">
        <f aca="false">(B17-B16)/B16*100</f>
        <v>8.78333554464641</v>
      </c>
      <c r="F17" s="28" t="n">
        <f aca="false">(C17-C16)/C16*100</f>
        <v>6.63989874743596</v>
      </c>
      <c r="G17" s="6" t="n">
        <v>3.8</v>
      </c>
      <c r="H17" s="28" t="n">
        <f aca="false">E17-F17</f>
        <v>2.14343679721045</v>
      </c>
      <c r="I17" s="13" t="n">
        <v>-412.7</v>
      </c>
      <c r="K17" s="28" t="n">
        <f aca="false">B17/1000</f>
        <v>7.3791</v>
      </c>
      <c r="L17" s="28" t="n">
        <f aca="false">C17/1000</f>
        <v>12.2172</v>
      </c>
    </row>
    <row r="18" customFormat="false" ht="15" hidden="false" customHeight="true" outlineLevel="0" collapsed="false">
      <c r="A18" s="38" t="n">
        <v>2005</v>
      </c>
      <c r="B18" s="13" t="n">
        <v>7932.7</v>
      </c>
      <c r="C18" s="13" t="n">
        <v>13039.2</v>
      </c>
      <c r="D18" s="10" t="n">
        <f aca="false">B18/C18*100</f>
        <v>60.8373213080557</v>
      </c>
      <c r="E18" s="28" t="n">
        <f aca="false">(B18-B17)/B17*100</f>
        <v>7.50226992451653</v>
      </c>
      <c r="F18" s="28" t="n">
        <f aca="false">(C18-C17)/C17*100</f>
        <v>6.72821923190256</v>
      </c>
      <c r="G18" s="6" t="n">
        <v>3.5</v>
      </c>
      <c r="H18" s="28" t="n">
        <f aca="false">E18-F18</f>
        <v>0.774050692613969</v>
      </c>
      <c r="I18" s="13" t="n">
        <v>-318.3</v>
      </c>
      <c r="K18" s="28" t="n">
        <f aca="false">B18/1000</f>
        <v>7.9327</v>
      </c>
      <c r="L18" s="28" t="n">
        <f aca="false">C18/1000</f>
        <v>13.0392</v>
      </c>
    </row>
    <row r="19" customFormat="false" ht="15" hidden="false" customHeight="true" outlineLevel="0" collapsed="false">
      <c r="A19" s="38" t="n">
        <v>2006</v>
      </c>
      <c r="B19" s="13" t="n">
        <v>8507</v>
      </c>
      <c r="C19" s="13" t="n">
        <v>13815.6</v>
      </c>
      <c r="D19" s="10" t="n">
        <f aca="false">B19/C19*100</f>
        <v>61.5753206520166</v>
      </c>
      <c r="E19" s="28" t="n">
        <f aca="false">(B19-B18)/B18*100</f>
        <v>7.23965358579047</v>
      </c>
      <c r="F19" s="28" t="n">
        <f aca="false">(C19-C18)/C18*100</f>
        <v>5.95435302779311</v>
      </c>
      <c r="G19" s="6" t="n">
        <v>2.8</v>
      </c>
      <c r="H19" s="28" t="n">
        <f aca="false">E19-F19</f>
        <v>1.28530055799735</v>
      </c>
      <c r="I19" s="13" t="n">
        <v>-248.2</v>
      </c>
      <c r="K19" s="28" t="n">
        <f aca="false">B19/1000</f>
        <v>8.507</v>
      </c>
      <c r="L19" s="28" t="n">
        <f aca="false">C19/1000</f>
        <v>13.8156</v>
      </c>
    </row>
    <row r="20" customFormat="false" ht="15" hidden="false" customHeight="true" outlineLevel="0" collapsed="false">
      <c r="A20" s="38" t="n">
        <v>2007</v>
      </c>
      <c r="B20" s="13" t="n">
        <v>9007.7</v>
      </c>
      <c r="C20" s="13" t="n">
        <v>14474.2</v>
      </c>
      <c r="D20" s="10" t="n">
        <f aca="false">B20/C20*100</f>
        <v>62.2328004311119</v>
      </c>
      <c r="E20" s="28" t="n">
        <f aca="false">(B20-B19)/B19*100</f>
        <v>5.88574115434349</v>
      </c>
      <c r="F20" s="28" t="n">
        <f aca="false">(C20-C19)/C19*100</f>
        <v>4.76707490083674</v>
      </c>
      <c r="G20" s="6" t="n">
        <v>2</v>
      </c>
      <c r="H20" s="28" t="n">
        <f aca="false">E20-F20</f>
        <v>1.11866625350675</v>
      </c>
      <c r="I20" s="13" t="n">
        <v>-160.7</v>
      </c>
      <c r="K20" s="28" t="n">
        <f aca="false">B20/1000</f>
        <v>9.0077</v>
      </c>
      <c r="L20" s="28" t="n">
        <f aca="false">C20/1000</f>
        <v>14.4742</v>
      </c>
    </row>
    <row r="21" customFormat="false" ht="15" hidden="false" customHeight="true" outlineLevel="0" collapsed="false">
      <c r="A21" s="38" t="n">
        <v>2008</v>
      </c>
      <c r="B21" s="13" t="n">
        <v>10024.7</v>
      </c>
      <c r="C21" s="13" t="n">
        <v>14769.9</v>
      </c>
      <c r="D21" s="10" t="n">
        <f aca="false">B21/C21*100</f>
        <v>67.8724974441262</v>
      </c>
      <c r="E21" s="28" t="n">
        <f aca="false">(B21-B20)/B20*100</f>
        <v>11.2903404864727</v>
      </c>
      <c r="F21" s="28" t="n">
        <f aca="false">(C21-C20)/C20*100</f>
        <v>2.04294537867377</v>
      </c>
      <c r="G21" s="6" t="n">
        <v>0.1</v>
      </c>
      <c r="H21" s="28" t="n">
        <f aca="false">E21-F21</f>
        <v>9.24739510779891</v>
      </c>
      <c r="I21" s="13" t="n">
        <v>-458.6</v>
      </c>
      <c r="K21" s="28" t="n">
        <f aca="false">B21/1000</f>
        <v>10.0247</v>
      </c>
      <c r="L21" s="28" t="n">
        <f aca="false">C21/1000</f>
        <v>14.7699</v>
      </c>
    </row>
    <row r="22" customFormat="false" ht="15" hidden="false" customHeight="true" outlineLevel="0" collapsed="false">
      <c r="A22" s="38" t="n">
        <v>2009</v>
      </c>
      <c r="B22" s="13" t="n">
        <v>11909.8</v>
      </c>
      <c r="C22" s="13" t="n">
        <v>14478.1</v>
      </c>
      <c r="D22" s="10" t="n">
        <f aca="false">B22/C22*100</f>
        <v>82.2607938887009</v>
      </c>
      <c r="E22" s="28" t="n">
        <f aca="false">(B22-B21)/B21*100</f>
        <v>18.8045527546959</v>
      </c>
      <c r="F22" s="28" t="n">
        <f aca="false">(C22-C21)/C21*100</f>
        <v>-1.97563964549523</v>
      </c>
      <c r="G22" s="6" t="n">
        <v>-2.6</v>
      </c>
      <c r="H22" s="28" t="n">
        <f aca="false">E22-F22</f>
        <v>20.7801924001911</v>
      </c>
      <c r="I22" s="13" t="n">
        <v>-1412.7</v>
      </c>
      <c r="K22" s="28" t="n">
        <f aca="false">B22/1000</f>
        <v>11.9098</v>
      </c>
      <c r="L22" s="28" t="n">
        <f aca="false">C22/1000</f>
        <v>14.4781</v>
      </c>
    </row>
    <row r="23" customFormat="false" ht="15" hidden="false" customHeight="true" outlineLevel="0" collapsed="false">
      <c r="A23" s="38" t="n">
        <v>2010</v>
      </c>
      <c r="B23" s="13" t="n">
        <v>13561.6</v>
      </c>
      <c r="C23" s="13" t="n">
        <v>15049</v>
      </c>
      <c r="D23" s="10" t="n">
        <f aca="false">B23/C23*100</f>
        <v>90.1162867964649</v>
      </c>
      <c r="E23" s="28" t="n">
        <f aca="false">(B23-B22)/B22*100</f>
        <v>13.8692505331744</v>
      </c>
      <c r="F23" s="28" t="n">
        <f aca="false">(C23-C22)/C22*100</f>
        <v>3.94319696645278</v>
      </c>
      <c r="G23" s="6" t="n">
        <v>2.7</v>
      </c>
      <c r="H23" s="28" t="n">
        <f aca="false">E23-F23</f>
        <v>9.92605356672159</v>
      </c>
      <c r="I23" s="13" t="n">
        <v>-1294.4</v>
      </c>
      <c r="K23" s="28" t="n">
        <f aca="false">B23/1000</f>
        <v>13.5616</v>
      </c>
      <c r="L23" s="28" t="n">
        <f aca="false">C23/1000</f>
        <v>15.049</v>
      </c>
    </row>
    <row r="24" customFormat="false" ht="15" hidden="false" customHeight="true" outlineLevel="0" collapsed="false">
      <c r="A24" s="38" t="n">
        <v>2011</v>
      </c>
      <c r="B24" s="13" t="n">
        <v>14790.3</v>
      </c>
      <c r="C24" s="13" t="n">
        <v>15599.7</v>
      </c>
      <c r="D24" s="10" t="n">
        <f aca="false">B24/C24*100</f>
        <v>94.8114386815131</v>
      </c>
      <c r="E24" s="28" t="n">
        <f aca="false">(B24-B23)/B23*100</f>
        <v>9.06014039641339</v>
      </c>
      <c r="F24" s="28" t="n">
        <f aca="false">(C24-C23)/C23*100</f>
        <v>3.65937936075487</v>
      </c>
      <c r="G24" s="6" t="n">
        <v>1.6</v>
      </c>
      <c r="H24" s="28" t="n">
        <f aca="false">E24-F24</f>
        <v>5.40076103565852</v>
      </c>
      <c r="I24" s="13" t="n">
        <v>-1299.6</v>
      </c>
      <c r="K24" s="28" t="n">
        <f aca="false">B24/1000</f>
        <v>14.7903</v>
      </c>
      <c r="L24" s="28" t="n">
        <f aca="false">C24/1000</f>
        <v>15.5997</v>
      </c>
    </row>
    <row r="25" customFormat="false" ht="15" hidden="false" customHeight="true" outlineLevel="0" collapsed="false">
      <c r="A25" s="38" t="n">
        <v>2012</v>
      </c>
      <c r="B25" s="13" t="n">
        <v>16066.2</v>
      </c>
      <c r="C25" s="13" t="n">
        <v>16254</v>
      </c>
      <c r="D25" s="10" t="n">
        <f aca="false">B25/C25*100</f>
        <v>98.8445921004061</v>
      </c>
      <c r="E25" s="28" t="n">
        <f aca="false">(B25-B24)/B24*100</f>
        <v>8.62659986612849</v>
      </c>
      <c r="F25" s="28" t="n">
        <f aca="false">(C25-C24)/C24*100</f>
        <v>4.19431142906594</v>
      </c>
      <c r="G25" s="6" t="n">
        <v>2.3</v>
      </c>
      <c r="H25" s="28" t="n">
        <f aca="false">E25-F25</f>
        <v>4.43228843706255</v>
      </c>
      <c r="I25" s="13" t="n">
        <v>-1087</v>
      </c>
      <c r="K25" s="28" t="n">
        <f aca="false">B25/1000</f>
        <v>16.0662</v>
      </c>
      <c r="L25" s="28" t="n">
        <f aca="false">C25/1000</f>
        <v>16.254</v>
      </c>
    </row>
    <row r="26" customFormat="false" ht="15" hidden="false" customHeight="true" outlineLevel="0" collapsed="false">
      <c r="A26" s="38" t="n">
        <v>2013</v>
      </c>
      <c r="B26" s="13" t="n">
        <v>16738.2</v>
      </c>
      <c r="C26" s="13" t="n">
        <v>16880.7</v>
      </c>
      <c r="D26" s="10" t="n">
        <f aca="false">B26/C26*100</f>
        <v>99.1558406938101</v>
      </c>
      <c r="E26" s="28" t="n">
        <f aca="false">(B26-B25)/B25*100</f>
        <v>4.18269410314822</v>
      </c>
      <c r="F26" s="28" t="n">
        <f aca="false">(C26-C25)/C25*100</f>
        <v>3.85566629752677</v>
      </c>
      <c r="G26" s="6" t="n">
        <v>2.1</v>
      </c>
      <c r="H26" s="28" t="n">
        <f aca="false">E26-F26</f>
        <v>0.327027805621457</v>
      </c>
      <c r="I26" s="13" t="n">
        <v>-679.5</v>
      </c>
      <c r="K26" s="28" t="n">
        <f aca="false">B26/1000</f>
        <v>16.7382</v>
      </c>
      <c r="L26" s="28" t="n">
        <f aca="false">C26/1000</f>
        <v>16.8807</v>
      </c>
    </row>
    <row r="27" customFormat="false" ht="15" hidden="false" customHeight="true" outlineLevel="0" collapsed="false">
      <c r="A27" s="38" t="n">
        <v>2014</v>
      </c>
      <c r="B27" s="13" t="n">
        <v>17824.1</v>
      </c>
      <c r="C27" s="13" t="n">
        <v>17608.1</v>
      </c>
      <c r="D27" s="10" t="n">
        <f aca="false">B27/C27*100</f>
        <v>101.226708162721</v>
      </c>
      <c r="E27" s="28" t="n">
        <f aca="false">(B27-B26)/B26*100</f>
        <v>6.48755541217095</v>
      </c>
      <c r="F27" s="28" t="n">
        <f aca="false">(C27-C26)/C26*100</f>
        <v>4.30906301278974</v>
      </c>
      <c r="G27" s="6" t="n">
        <v>2.5</v>
      </c>
      <c r="H27" s="28" t="n">
        <f aca="false">E27-F27</f>
        <v>2.17849239938121</v>
      </c>
      <c r="I27" s="13" t="n">
        <v>-484.6</v>
      </c>
      <c r="K27" s="28" t="n">
        <f aca="false">B27/1000</f>
        <v>17.8241</v>
      </c>
      <c r="L27" s="28" t="n">
        <f aca="false">C27/1000</f>
        <v>17.6081</v>
      </c>
    </row>
    <row r="28" customFormat="false" ht="15" hidden="false" customHeight="true" outlineLevel="0" collapsed="false">
      <c r="A28" s="38" t="n">
        <v>2015</v>
      </c>
      <c r="B28" s="13" t="n">
        <v>18150.6</v>
      </c>
      <c r="C28" s="13" t="n">
        <v>18295</v>
      </c>
      <c r="D28" s="10" t="n">
        <f aca="false">B28/C28*100</f>
        <v>99.2107133096474</v>
      </c>
      <c r="E28" s="28" t="n">
        <f aca="false">(B28-B27)/B27*100</f>
        <v>1.83178954337105</v>
      </c>
      <c r="F28" s="28" t="n">
        <f aca="false">(C28-C27)/C27*100</f>
        <v>3.90104554154055</v>
      </c>
      <c r="G28" s="6" t="n">
        <v>2.9</v>
      </c>
      <c r="H28" s="28" t="n">
        <f aca="false">E28-F28</f>
        <v>-2.0692559981695</v>
      </c>
      <c r="I28" s="13" t="n">
        <v>-438.4</v>
      </c>
      <c r="K28" s="28" t="n">
        <f aca="false">B28/1000</f>
        <v>18.1506</v>
      </c>
      <c r="L28" s="28" t="n">
        <f aca="false">C28/1000</f>
        <v>18.295</v>
      </c>
    </row>
    <row r="29" customFormat="false" ht="15" hidden="false" customHeight="true" outlineLevel="0" collapsed="false">
      <c r="A29" s="38" t="n">
        <v>2016</v>
      </c>
      <c r="B29" s="13" t="n">
        <v>19573.4</v>
      </c>
      <c r="C29" s="13" t="n">
        <v>18804.9</v>
      </c>
      <c r="D29" s="10" t="n">
        <f aca="false">B29/C29*100</f>
        <v>104.086700806705</v>
      </c>
      <c r="E29" s="28" t="n">
        <f aca="false">(B29-B28)/B28*100</f>
        <v>7.83885932145496</v>
      </c>
      <c r="F29" s="28" t="n">
        <f aca="false">(C29-C28)/C28*100</f>
        <v>2.7871003006286</v>
      </c>
      <c r="G29" s="6" t="n">
        <v>1.8</v>
      </c>
      <c r="H29" s="28" t="n">
        <f aca="false">E29-F29</f>
        <v>5.05175902082636</v>
      </c>
      <c r="I29" s="13" t="n">
        <v>-584.7</v>
      </c>
      <c r="K29" s="28" t="n">
        <f aca="false">B29/1000</f>
        <v>19.5734</v>
      </c>
      <c r="L29" s="28" t="n">
        <f aca="false">C29/1000</f>
        <v>18.8049</v>
      </c>
    </row>
    <row r="30" customFormat="false" ht="15" hidden="false" customHeight="true" outlineLevel="0" collapsed="false">
      <c r="A30" s="38" t="n">
        <v>2017</v>
      </c>
      <c r="B30" s="13" t="n">
        <v>20244.9</v>
      </c>
      <c r="C30" s="13" t="n">
        <v>19612.1</v>
      </c>
      <c r="D30" s="10" t="n">
        <f aca="false">B30/C30*100</f>
        <v>103.226579509588</v>
      </c>
      <c r="E30" s="28" t="n">
        <f aca="false">(B30-B29)/B29*100</f>
        <v>3.43067632603431</v>
      </c>
      <c r="F30" s="28" t="n">
        <f aca="false">(C30-C29)/C29*100</f>
        <v>4.29249823184381</v>
      </c>
      <c r="G30" s="6" t="n">
        <v>2.5</v>
      </c>
      <c r="H30" s="28" t="n">
        <f aca="false">E30-F30</f>
        <v>-0.861821905809501</v>
      </c>
      <c r="I30" s="13" t="n">
        <v>-665.4</v>
      </c>
      <c r="K30" s="28" t="n">
        <f aca="false">B30/1000</f>
        <v>20.2449</v>
      </c>
      <c r="L30" s="28" t="n">
        <f aca="false">C30/1000</f>
        <v>19.6121</v>
      </c>
    </row>
    <row r="31" customFormat="false" ht="15" hidden="false" customHeight="true" outlineLevel="0" collapsed="false">
      <c r="A31" s="38" t="n">
        <v>2018</v>
      </c>
      <c r="B31" s="13" t="n">
        <v>21516.1</v>
      </c>
      <c r="C31" s="13" t="n">
        <v>20656.5</v>
      </c>
      <c r="D31" s="10" t="n">
        <f aca="false">B31/C31*100</f>
        <v>104.161401980006</v>
      </c>
      <c r="E31" s="28" t="n">
        <f aca="false">(B31-B30)/B30*100</f>
        <v>6.27911227025076</v>
      </c>
      <c r="F31" s="28" t="n">
        <f aca="false">(C31-C30)/C30*100</f>
        <v>5.32528388086947</v>
      </c>
      <c r="G31" s="6" t="n">
        <v>3</v>
      </c>
      <c r="H31" s="28" t="n">
        <f aca="false">E31-F31</f>
        <v>0.953828389381292</v>
      </c>
      <c r="I31" s="13" t="n">
        <v>-779</v>
      </c>
      <c r="K31" s="28" t="n">
        <f aca="false">B31/1000</f>
        <v>21.5161</v>
      </c>
      <c r="L31" s="28" t="n">
        <f aca="false">C31/1000</f>
        <v>20.6565</v>
      </c>
    </row>
    <row r="32" customFormat="false" ht="15" hidden="false" customHeight="true" outlineLevel="0" collapsed="false">
      <c r="A32" s="38" t="n">
        <v>2019</v>
      </c>
      <c r="B32" s="13" t="n">
        <v>22719.4</v>
      </c>
      <c r="C32" s="13" t="n">
        <v>21540</v>
      </c>
      <c r="D32" s="10" t="n">
        <f aca="false">B32/C32*100</f>
        <v>105.47539461467</v>
      </c>
      <c r="E32" s="28" t="n">
        <f aca="false">(B32-B31)/B31*100</f>
        <v>5.59255627181507</v>
      </c>
      <c r="F32" s="28" t="n">
        <f aca="false">(C32-C31)/C31*100</f>
        <v>4.27710405925496</v>
      </c>
      <c r="G32" s="6" t="n">
        <v>2.6</v>
      </c>
      <c r="H32" s="28" t="n">
        <f aca="false">E32-F32</f>
        <v>1.31545221256012</v>
      </c>
      <c r="I32" s="13" t="n">
        <v>-984.4</v>
      </c>
      <c r="K32" s="28" t="n">
        <f aca="false">B32/1000</f>
        <v>22.7194</v>
      </c>
      <c r="L32" s="28" t="n">
        <f aca="false">C32/1000</f>
        <v>21.54</v>
      </c>
    </row>
    <row r="33" customFormat="false" ht="15" hidden="false" customHeight="true" outlineLevel="0" collapsed="false">
      <c r="A33" s="38" t="n">
        <v>2020</v>
      </c>
      <c r="B33" s="13" t="n">
        <v>26945.4</v>
      </c>
      <c r="C33" s="13" t="n">
        <v>21375.3</v>
      </c>
      <c r="D33" s="10" t="n">
        <f aca="false">B33/C33*100</f>
        <v>126.058581633942</v>
      </c>
      <c r="E33" s="28" t="n">
        <f aca="false">(B33-B32)/B32*100</f>
        <v>18.6008433321303</v>
      </c>
      <c r="F33" s="28" t="n">
        <f aca="false">(C33-C32)/C32*100</f>
        <v>-0.764623955431758</v>
      </c>
      <c r="G33" s="6" t="n">
        <v>-2.1</v>
      </c>
      <c r="H33" s="28" t="n">
        <f aca="false">E33-F33</f>
        <v>19.365467287562</v>
      </c>
      <c r="I33" s="13" t="n">
        <v>-3132</v>
      </c>
      <c r="K33" s="28" t="n">
        <f aca="false">B33/1000</f>
        <v>26.9454</v>
      </c>
      <c r="L33" s="28" t="n">
        <f aca="false">C33/1000</f>
        <v>21.3753</v>
      </c>
    </row>
    <row r="34" customFormat="false" ht="15" hidden="false" customHeight="true" outlineLevel="0" collapsed="false">
      <c r="A34" s="38" t="n">
        <v>2021</v>
      </c>
      <c r="B34" s="13" t="n">
        <v>28428.9</v>
      </c>
      <c r="C34" s="13" t="n">
        <v>23725.6</v>
      </c>
      <c r="D34" s="10" t="n">
        <f aca="false">B34/C34*100</f>
        <v>119.823734700071</v>
      </c>
      <c r="E34" s="28" t="n">
        <f aca="false">(B34-B33)/B33*100</f>
        <v>5.50557794651406</v>
      </c>
      <c r="F34" s="28" t="n">
        <f aca="false">(C34-C33)/C33*100</f>
        <v>10.9954012341347</v>
      </c>
      <c r="G34" s="6" t="n">
        <v>6.2</v>
      </c>
      <c r="H34" s="28" t="n">
        <f aca="false">E34-F34</f>
        <v>-5.48982328762066</v>
      </c>
      <c r="I34" s="13" t="n">
        <v>-2772</v>
      </c>
      <c r="K34" s="28" t="n">
        <f aca="false">B34/1000</f>
        <v>28.4289</v>
      </c>
      <c r="L34" s="28" t="n">
        <f aca="false">C34/1000</f>
        <v>23.7256</v>
      </c>
    </row>
    <row r="35" customFormat="false" ht="15" hidden="false" customHeight="true" outlineLevel="0" collapsed="false">
      <c r="A35" s="38" t="n">
        <v>2022</v>
      </c>
      <c r="B35" s="13" t="n">
        <v>30928.9</v>
      </c>
      <c r="C35" s="13" t="n">
        <v>26054.6</v>
      </c>
      <c r="D35" s="10" t="n">
        <f aca="false">B35/C35*100</f>
        <v>118.708020848526</v>
      </c>
      <c r="E35" s="28" t="n">
        <f aca="false">(B35-B34)/B34*100</f>
        <v>8.79386821157343</v>
      </c>
      <c r="F35" s="28" t="n">
        <f aca="false">(C35-C34)/C34*100</f>
        <v>9.81640084971508</v>
      </c>
      <c r="G35" s="6" t="n">
        <v>2.5</v>
      </c>
      <c r="H35" s="28" t="n">
        <f aca="false">E35-F35</f>
        <v>-1.02253263814164</v>
      </c>
      <c r="I35" s="13" t="n">
        <v>-1375</v>
      </c>
      <c r="K35" s="28" t="n">
        <f aca="false">B35/1000</f>
        <v>30.9289</v>
      </c>
      <c r="L35" s="28" t="n">
        <f aca="false">C35/1000</f>
        <v>26.0546</v>
      </c>
    </row>
    <row r="36" customFormat="false" ht="15" hidden="false" customHeight="true" outlineLevel="0" collapsed="false">
      <c r="A36" s="38" t="n">
        <v>2023</v>
      </c>
      <c r="B36" s="13" t="n">
        <v>33167.3</v>
      </c>
      <c r="C36" s="13" t="n">
        <v>27811.5</v>
      </c>
      <c r="D36" s="10" t="n">
        <f aca="false">B36/C36*100</f>
        <v>119.257501393309</v>
      </c>
      <c r="E36" s="28" t="n">
        <f aca="false">(B36-B35)/B35*100</f>
        <v>7.23724413089376</v>
      </c>
      <c r="F36" s="28" t="n">
        <f aca="false">(C36-C35)/C35*100</f>
        <v>6.74314708343249</v>
      </c>
      <c r="G36" s="6" t="n">
        <v>2.9</v>
      </c>
      <c r="H36" s="28" t="n">
        <f aca="false">E36-F36</f>
        <v>0.494097047461274</v>
      </c>
      <c r="I36" s="13" t="n">
        <v>-1695</v>
      </c>
      <c r="K36" s="28" t="n">
        <f aca="false">B36/1000</f>
        <v>33.1673</v>
      </c>
      <c r="L36" s="28" t="n">
        <f aca="false">C36/1000</f>
        <v>27.8115</v>
      </c>
    </row>
    <row r="37" customFormat="false" ht="15" hidden="false" customHeight="true" outlineLevel="0" collapsed="false">
      <c r="A37" s="38" t="n">
        <v>2024</v>
      </c>
      <c r="B37" s="13" t="n">
        <v>35464.7</v>
      </c>
      <c r="C37" s="13" t="n">
        <v>29298</v>
      </c>
      <c r="D37" s="10" t="n">
        <f aca="false">B37/C37*100</f>
        <v>121.048194416001</v>
      </c>
      <c r="E37" s="28" t="n">
        <f aca="false">(B37-B36)/B36*100</f>
        <v>6.92670190217472</v>
      </c>
      <c r="F37" s="28" t="n">
        <f aca="false">(C37-C36)/C36*100</f>
        <v>5.34491127770886</v>
      </c>
      <c r="G37" s="6" t="n">
        <v>2.8</v>
      </c>
      <c r="H37" s="28" t="n">
        <f aca="false">E37-F37</f>
        <v>1.58179062446585</v>
      </c>
      <c r="I37" s="13" t="n">
        <v>-1833</v>
      </c>
      <c r="K37" s="28" t="n">
        <f aca="false">B37/1000</f>
        <v>35.4647</v>
      </c>
      <c r="L37" s="28" t="n">
        <f aca="false">C37/1000</f>
        <v>29.298</v>
      </c>
    </row>
    <row r="38" customFormat="false" ht="15" hidden="false" customHeight="true" outlineLevel="0" collapsed="false">
      <c r="A38" s="38" t="n">
        <v>2025</v>
      </c>
      <c r="B38" s="13" t="n">
        <v>37637.6</v>
      </c>
      <c r="C38" s="13" t="n">
        <v>30762.1</v>
      </c>
      <c r="D38" s="40" t="n">
        <f aca="false">B38/C38*100</f>
        <v>122.350554741061</v>
      </c>
      <c r="E38" s="41" t="n">
        <f aca="false">(B38-B37)/B37*100</f>
        <v>6.12693748995481</v>
      </c>
      <c r="F38" s="41" t="n">
        <f aca="false">(C38-C37)/C37*100</f>
        <v>4.9972694381869</v>
      </c>
      <c r="G38" s="6" t="n">
        <v>2.1</v>
      </c>
      <c r="H38" s="41" t="n">
        <f aca="false">E38-F38</f>
        <v>1.1296680517679</v>
      </c>
      <c r="I38" s="13" t="n">
        <v>-1775.4</v>
      </c>
      <c r="K38" s="41" t="n">
        <f aca="false">B38/1000</f>
        <v>37.6376</v>
      </c>
      <c r="L38" s="41" t="n">
        <f aca="false">C38/1000</f>
        <v>30.7621</v>
      </c>
    </row>
    <row r="39" customFormat="false" ht="15" hidden="false" customHeight="true" outlineLevel="0" collapsed="false"/>
    <row r="40" customFormat="false" ht="15" hidden="false" customHeight="true" outlineLevel="0" collapsed="false">
      <c r="A40" s="3" t="s">
        <v>499</v>
      </c>
    </row>
    <row r="41" customFormat="false" ht="15" hidden="false" customHeight="true" outlineLevel="0" collapsed="false">
      <c r="A41" s="3" t="s">
        <v>500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8"/>
    <col collapsed="false" customWidth="true" hidden="false" outlineLevel="0" max="8" min="2" style="1" width="14"/>
  </cols>
  <sheetData>
    <row r="1" customFormat="false" ht="15.75" hidden="false" customHeight="true" outlineLevel="0" collapsed="false">
      <c r="A1" s="2" t="s">
        <v>501</v>
      </c>
    </row>
    <row r="2" customFormat="false" ht="15" hidden="false" customHeight="true" outlineLevel="0" collapsed="false">
      <c r="A2" s="3" t="s">
        <v>502</v>
      </c>
    </row>
    <row r="4" customFormat="false" ht="15" hidden="false" customHeight="true" outlineLevel="0" collapsed="false">
      <c r="A4" s="24" t="s">
        <v>328</v>
      </c>
      <c r="B4" s="37" t="s">
        <v>503</v>
      </c>
      <c r="C4" s="37" t="s">
        <v>492</v>
      </c>
      <c r="D4" s="37" t="s">
        <v>504</v>
      </c>
      <c r="E4" s="37" t="s">
        <v>493</v>
      </c>
      <c r="F4" s="37" t="s">
        <v>494</v>
      </c>
      <c r="G4" s="37" t="s">
        <v>505</v>
      </c>
      <c r="H4" s="37" t="s">
        <v>506</v>
      </c>
    </row>
    <row r="5" customFormat="false" ht="15" hidden="false" customHeight="true" outlineLevel="0" collapsed="false">
      <c r="A5" s="38" t="n">
        <v>2000</v>
      </c>
      <c r="B5" s="13" t="n">
        <v>5674.2</v>
      </c>
      <c r="D5" s="13" t="n">
        <v>10251</v>
      </c>
      <c r="F5" s="6" t="n">
        <v>4.1</v>
      </c>
    </row>
    <row r="6" customFormat="false" ht="15" hidden="false" customHeight="true" outlineLevel="0" collapsed="false">
      <c r="A6" s="38" t="n">
        <v>2001</v>
      </c>
      <c r="B6" s="13" t="n">
        <v>5807.5</v>
      </c>
      <c r="C6" s="28" t="n">
        <f aca="false">(B6-B5)/B5*100</f>
        <v>2.34922984737937</v>
      </c>
      <c r="D6" s="13" t="n">
        <v>10581.9</v>
      </c>
      <c r="E6" s="28" t="n">
        <f aca="false">(D6-D5)/D5*100</f>
        <v>3.22797775826748</v>
      </c>
      <c r="F6" s="6" t="n">
        <v>1</v>
      </c>
      <c r="G6" s="28" t="n">
        <f aca="false">C6-E6</f>
        <v>-0.878747910888113</v>
      </c>
      <c r="H6" s="28" t="n">
        <f aca="false">C6-F6</f>
        <v>1.34922984737937</v>
      </c>
    </row>
    <row r="7" customFormat="false" ht="15" hidden="false" customHeight="true" outlineLevel="0" collapsed="false">
      <c r="A7" s="38" t="n">
        <v>2002</v>
      </c>
      <c r="B7" s="13" t="n">
        <v>6228.2</v>
      </c>
      <c r="C7" s="28" t="n">
        <f aca="false">(B7-B6)/B6*100</f>
        <v>7.24408092983211</v>
      </c>
      <c r="D7" s="13" t="n">
        <v>10929.1</v>
      </c>
      <c r="E7" s="28" t="n">
        <f aca="false">(D7-D6)/D6*100</f>
        <v>3.28107428722631</v>
      </c>
      <c r="F7" s="6" t="n">
        <v>1.7</v>
      </c>
      <c r="G7" s="28" t="n">
        <f aca="false">C7-E7</f>
        <v>3.9630066426058</v>
      </c>
      <c r="H7" s="28" t="n">
        <f aca="false">C7-F7</f>
        <v>5.54408092983211</v>
      </c>
    </row>
    <row r="8" customFormat="false" ht="15" hidden="false" customHeight="true" outlineLevel="0" collapsed="false">
      <c r="A8" s="38" t="n">
        <v>2003</v>
      </c>
      <c r="B8" s="13" t="n">
        <v>6783.3</v>
      </c>
      <c r="C8" s="28" t="n">
        <f aca="false">(B8-B7)/B7*100</f>
        <v>8.912687453839</v>
      </c>
      <c r="D8" s="13" t="n">
        <v>11456.5</v>
      </c>
      <c r="E8" s="28" t="n">
        <f aca="false">(D8-D7)/D7*100</f>
        <v>4.82564895554071</v>
      </c>
      <c r="F8" s="6" t="n">
        <v>2.8</v>
      </c>
      <c r="G8" s="28" t="n">
        <f aca="false">C8-E8</f>
        <v>4.08703849829829</v>
      </c>
      <c r="H8" s="28" t="n">
        <f aca="false">C8-F8</f>
        <v>6.112687453839</v>
      </c>
    </row>
    <row r="9" customFormat="false" ht="15" hidden="false" customHeight="true" outlineLevel="0" collapsed="false">
      <c r="A9" s="38" t="n">
        <v>2004</v>
      </c>
      <c r="B9" s="13" t="n">
        <v>7379.1</v>
      </c>
      <c r="C9" s="28" t="n">
        <f aca="false">(B9-B8)/B8*100</f>
        <v>8.78333554464641</v>
      </c>
      <c r="D9" s="13" t="n">
        <v>12217.2</v>
      </c>
      <c r="E9" s="28" t="n">
        <f aca="false">(D9-D8)/D8*100</f>
        <v>6.63989874743596</v>
      </c>
      <c r="F9" s="6" t="n">
        <v>3.8</v>
      </c>
      <c r="G9" s="28" t="n">
        <f aca="false">C9-E9</f>
        <v>2.14343679721045</v>
      </c>
      <c r="H9" s="28" t="n">
        <f aca="false">C9-F9</f>
        <v>4.98333554464641</v>
      </c>
    </row>
    <row r="10" customFormat="false" ht="15" hidden="false" customHeight="true" outlineLevel="0" collapsed="false">
      <c r="A10" s="38" t="n">
        <v>2005</v>
      </c>
      <c r="B10" s="13" t="n">
        <v>7932.7</v>
      </c>
      <c r="C10" s="28" t="n">
        <f aca="false">(B10-B9)/B9*100</f>
        <v>7.50226992451653</v>
      </c>
      <c r="D10" s="13" t="n">
        <v>13039.2</v>
      </c>
      <c r="E10" s="28" t="n">
        <f aca="false">(D10-D9)/D9*100</f>
        <v>6.72821923190256</v>
      </c>
      <c r="F10" s="6" t="n">
        <v>3.5</v>
      </c>
      <c r="G10" s="28" t="n">
        <f aca="false">C10-E10</f>
        <v>0.774050692613969</v>
      </c>
      <c r="H10" s="28" t="n">
        <f aca="false">C10-F10</f>
        <v>4.00226992451653</v>
      </c>
    </row>
    <row r="11" customFormat="false" ht="15" hidden="false" customHeight="true" outlineLevel="0" collapsed="false">
      <c r="A11" s="38" t="n">
        <v>2006</v>
      </c>
      <c r="B11" s="13" t="n">
        <v>8507</v>
      </c>
      <c r="C11" s="28" t="n">
        <f aca="false">(B11-B10)/B10*100</f>
        <v>7.23965358579047</v>
      </c>
      <c r="D11" s="13" t="n">
        <v>13815.6</v>
      </c>
      <c r="E11" s="28" t="n">
        <f aca="false">(D11-D10)/D10*100</f>
        <v>5.95435302779311</v>
      </c>
      <c r="F11" s="6" t="n">
        <v>2.8</v>
      </c>
      <c r="G11" s="28" t="n">
        <f aca="false">C11-E11</f>
        <v>1.28530055799735</v>
      </c>
      <c r="H11" s="28" t="n">
        <f aca="false">C11-F11</f>
        <v>4.43965358579047</v>
      </c>
    </row>
    <row r="12" customFormat="false" ht="15" hidden="false" customHeight="true" outlineLevel="0" collapsed="false">
      <c r="A12" s="38" t="n">
        <v>2007</v>
      </c>
      <c r="B12" s="13" t="n">
        <v>9007.7</v>
      </c>
      <c r="C12" s="28" t="n">
        <f aca="false">(B12-B11)/B11*100</f>
        <v>5.88574115434349</v>
      </c>
      <c r="D12" s="13" t="n">
        <v>14474.2</v>
      </c>
      <c r="E12" s="28" t="n">
        <f aca="false">(D12-D11)/D11*100</f>
        <v>4.76707490083674</v>
      </c>
      <c r="F12" s="6" t="n">
        <v>2</v>
      </c>
      <c r="G12" s="28" t="n">
        <f aca="false">C12-E12</f>
        <v>1.11866625350675</v>
      </c>
      <c r="H12" s="28" t="n">
        <f aca="false">C12-F12</f>
        <v>3.88574115434349</v>
      </c>
    </row>
    <row r="13" customFormat="false" ht="15" hidden="false" customHeight="true" outlineLevel="0" collapsed="false">
      <c r="A13" s="38" t="n">
        <v>2008</v>
      </c>
      <c r="B13" s="13" t="n">
        <v>10024.7</v>
      </c>
      <c r="C13" s="28" t="n">
        <f aca="false">(B13-B12)/B12*100</f>
        <v>11.2903404864727</v>
      </c>
      <c r="D13" s="13" t="n">
        <v>14769.9</v>
      </c>
      <c r="E13" s="28" t="n">
        <f aca="false">(D13-D12)/D12*100</f>
        <v>2.04294537867377</v>
      </c>
      <c r="F13" s="6" t="n">
        <v>0.1</v>
      </c>
      <c r="G13" s="28" t="n">
        <f aca="false">C13-E13</f>
        <v>9.24739510779891</v>
      </c>
      <c r="H13" s="28" t="n">
        <f aca="false">C13-F13</f>
        <v>11.1903404864727</v>
      </c>
    </row>
    <row r="14" customFormat="false" ht="15" hidden="false" customHeight="true" outlineLevel="0" collapsed="false">
      <c r="A14" s="38" t="n">
        <v>2009</v>
      </c>
      <c r="B14" s="13" t="n">
        <v>11909.8</v>
      </c>
      <c r="C14" s="28" t="n">
        <f aca="false">(B14-B13)/B13*100</f>
        <v>18.8045527546959</v>
      </c>
      <c r="D14" s="13" t="n">
        <v>14478.1</v>
      </c>
      <c r="E14" s="28" t="n">
        <f aca="false">(D14-D13)/D13*100</f>
        <v>-1.97563964549523</v>
      </c>
      <c r="F14" s="6" t="n">
        <v>-2.6</v>
      </c>
      <c r="G14" s="28" t="n">
        <f aca="false">C14-E14</f>
        <v>20.7801924001911</v>
      </c>
      <c r="H14" s="28" t="n">
        <f aca="false">C14-F14</f>
        <v>21.4045527546959</v>
      </c>
    </row>
    <row r="15" customFormat="false" ht="15" hidden="false" customHeight="true" outlineLevel="0" collapsed="false">
      <c r="A15" s="38" t="n">
        <v>2010</v>
      </c>
      <c r="B15" s="13" t="n">
        <v>13561.6</v>
      </c>
      <c r="C15" s="28" t="n">
        <f aca="false">(B15-B14)/B14*100</f>
        <v>13.8692505331744</v>
      </c>
      <c r="D15" s="13" t="n">
        <v>15049</v>
      </c>
      <c r="E15" s="28" t="n">
        <f aca="false">(D15-D14)/D14*100</f>
        <v>3.94319696645278</v>
      </c>
      <c r="F15" s="6" t="n">
        <v>2.7</v>
      </c>
      <c r="G15" s="28" t="n">
        <f aca="false">C15-E15</f>
        <v>9.92605356672159</v>
      </c>
      <c r="H15" s="28" t="n">
        <f aca="false">C15-F15</f>
        <v>11.1692505331744</v>
      </c>
    </row>
    <row r="16" customFormat="false" ht="15" hidden="false" customHeight="true" outlineLevel="0" collapsed="false">
      <c r="A16" s="38" t="n">
        <v>2011</v>
      </c>
      <c r="B16" s="13" t="n">
        <v>14790.3</v>
      </c>
      <c r="C16" s="28" t="n">
        <f aca="false">(B16-B15)/B15*100</f>
        <v>9.06014039641339</v>
      </c>
      <c r="D16" s="13" t="n">
        <v>15599.7</v>
      </c>
      <c r="E16" s="28" t="n">
        <f aca="false">(D16-D15)/D15*100</f>
        <v>3.65937936075487</v>
      </c>
      <c r="F16" s="6" t="n">
        <v>1.6</v>
      </c>
      <c r="G16" s="28" t="n">
        <f aca="false">C16-E16</f>
        <v>5.40076103565852</v>
      </c>
      <c r="H16" s="28" t="n">
        <f aca="false">C16-F16</f>
        <v>7.46014039641339</v>
      </c>
    </row>
    <row r="17" customFormat="false" ht="15" hidden="false" customHeight="true" outlineLevel="0" collapsed="false">
      <c r="A17" s="38" t="n">
        <v>2012</v>
      </c>
      <c r="B17" s="13" t="n">
        <v>16066.2</v>
      </c>
      <c r="C17" s="28" t="n">
        <f aca="false">(B17-B16)/B16*100</f>
        <v>8.62659986612849</v>
      </c>
      <c r="D17" s="13" t="n">
        <v>16254</v>
      </c>
      <c r="E17" s="28" t="n">
        <f aca="false">(D17-D16)/D16*100</f>
        <v>4.19431142906594</v>
      </c>
      <c r="F17" s="6" t="n">
        <v>2.3</v>
      </c>
      <c r="G17" s="28" t="n">
        <f aca="false">C17-E17</f>
        <v>4.43228843706255</v>
      </c>
      <c r="H17" s="28" t="n">
        <f aca="false">C17-F17</f>
        <v>6.32659986612849</v>
      </c>
    </row>
    <row r="18" customFormat="false" ht="15" hidden="false" customHeight="true" outlineLevel="0" collapsed="false">
      <c r="A18" s="38" t="n">
        <v>2013</v>
      </c>
      <c r="B18" s="13" t="n">
        <v>16738.2</v>
      </c>
      <c r="C18" s="28" t="n">
        <f aca="false">(B18-B17)/B17*100</f>
        <v>4.18269410314822</v>
      </c>
      <c r="D18" s="13" t="n">
        <v>16880.7</v>
      </c>
      <c r="E18" s="28" t="n">
        <f aca="false">(D18-D17)/D17*100</f>
        <v>3.85566629752677</v>
      </c>
      <c r="F18" s="6" t="n">
        <v>2.1</v>
      </c>
      <c r="G18" s="28" t="n">
        <f aca="false">C18-E18</f>
        <v>0.327027805621457</v>
      </c>
      <c r="H18" s="28" t="n">
        <f aca="false">C18-F18</f>
        <v>2.08269410314822</v>
      </c>
    </row>
    <row r="19" customFormat="false" ht="15" hidden="false" customHeight="true" outlineLevel="0" collapsed="false">
      <c r="A19" s="38" t="n">
        <v>2014</v>
      </c>
      <c r="B19" s="13" t="n">
        <v>17824.1</v>
      </c>
      <c r="C19" s="28" t="n">
        <f aca="false">(B19-B18)/B18*100</f>
        <v>6.48755541217095</v>
      </c>
      <c r="D19" s="13" t="n">
        <v>17608.1</v>
      </c>
      <c r="E19" s="28" t="n">
        <f aca="false">(D19-D18)/D18*100</f>
        <v>4.30906301278974</v>
      </c>
      <c r="F19" s="6" t="n">
        <v>2.5</v>
      </c>
      <c r="G19" s="28" t="n">
        <f aca="false">C19-E19</f>
        <v>2.17849239938121</v>
      </c>
      <c r="H19" s="28" t="n">
        <f aca="false">C19-F19</f>
        <v>3.98755541217095</v>
      </c>
    </row>
    <row r="20" customFormat="false" ht="15" hidden="false" customHeight="true" outlineLevel="0" collapsed="false">
      <c r="A20" s="38" t="n">
        <v>2015</v>
      </c>
      <c r="B20" s="13" t="n">
        <v>18150.6</v>
      </c>
      <c r="C20" s="28" t="n">
        <f aca="false">(B20-B19)/B19*100</f>
        <v>1.83178954337105</v>
      </c>
      <c r="D20" s="13" t="n">
        <v>18295</v>
      </c>
      <c r="E20" s="28" t="n">
        <f aca="false">(D20-D19)/D19*100</f>
        <v>3.90104554154055</v>
      </c>
      <c r="F20" s="6" t="n">
        <v>2.9</v>
      </c>
      <c r="G20" s="28" t="n">
        <f aca="false">C20-E20</f>
        <v>-2.0692559981695</v>
      </c>
      <c r="H20" s="28" t="n">
        <f aca="false">C20-F20</f>
        <v>-1.06821045662895</v>
      </c>
    </row>
    <row r="21" customFormat="false" ht="15" hidden="false" customHeight="true" outlineLevel="0" collapsed="false">
      <c r="A21" s="38" t="n">
        <v>2016</v>
      </c>
      <c r="B21" s="13" t="n">
        <v>19573.4</v>
      </c>
      <c r="C21" s="28" t="n">
        <f aca="false">(B21-B20)/B20*100</f>
        <v>7.83885932145496</v>
      </c>
      <c r="D21" s="13" t="n">
        <v>18804.9</v>
      </c>
      <c r="E21" s="28" t="n">
        <f aca="false">(D21-D20)/D20*100</f>
        <v>2.7871003006286</v>
      </c>
      <c r="F21" s="6" t="n">
        <v>1.8</v>
      </c>
      <c r="G21" s="28" t="n">
        <f aca="false">C21-E21</f>
        <v>5.05175902082636</v>
      </c>
      <c r="H21" s="28" t="n">
        <f aca="false">C21-F21</f>
        <v>6.03885932145496</v>
      </c>
    </row>
    <row r="22" customFormat="false" ht="15" hidden="false" customHeight="true" outlineLevel="0" collapsed="false">
      <c r="A22" s="38" t="n">
        <v>2017</v>
      </c>
      <c r="B22" s="13" t="n">
        <v>20244.9</v>
      </c>
      <c r="C22" s="28" t="n">
        <f aca="false">(B22-B21)/B21*100</f>
        <v>3.43067632603431</v>
      </c>
      <c r="D22" s="13" t="n">
        <v>19612.1</v>
      </c>
      <c r="E22" s="28" t="n">
        <f aca="false">(D22-D21)/D21*100</f>
        <v>4.29249823184381</v>
      </c>
      <c r="F22" s="6" t="n">
        <v>2.5</v>
      </c>
      <c r="G22" s="28" t="n">
        <f aca="false">C22-E22</f>
        <v>-0.861821905809501</v>
      </c>
      <c r="H22" s="28" t="n">
        <f aca="false">C22-F22</f>
        <v>0.930676326034312</v>
      </c>
    </row>
    <row r="23" customFormat="false" ht="15" hidden="false" customHeight="true" outlineLevel="0" collapsed="false">
      <c r="A23" s="38" t="n">
        <v>2018</v>
      </c>
      <c r="B23" s="13" t="n">
        <v>21516.1</v>
      </c>
      <c r="C23" s="28" t="n">
        <f aca="false">(B23-B22)/B22*100</f>
        <v>6.27911227025076</v>
      </c>
      <c r="D23" s="13" t="n">
        <v>20656.5</v>
      </c>
      <c r="E23" s="28" t="n">
        <f aca="false">(D23-D22)/D22*100</f>
        <v>5.32528388086947</v>
      </c>
      <c r="F23" s="6" t="n">
        <v>3</v>
      </c>
      <c r="G23" s="28" t="n">
        <f aca="false">C23-E23</f>
        <v>0.953828389381292</v>
      </c>
      <c r="H23" s="28" t="n">
        <f aca="false">C23-F23</f>
        <v>3.27911227025076</v>
      </c>
    </row>
    <row r="24" customFormat="false" ht="15" hidden="false" customHeight="true" outlineLevel="0" collapsed="false">
      <c r="A24" s="38" t="n">
        <v>2019</v>
      </c>
      <c r="B24" s="13" t="n">
        <v>22719.4</v>
      </c>
      <c r="C24" s="28" t="n">
        <f aca="false">(B24-B23)/B23*100</f>
        <v>5.59255627181507</v>
      </c>
      <c r="D24" s="13" t="n">
        <v>21540</v>
      </c>
      <c r="E24" s="28" t="n">
        <f aca="false">(D24-D23)/D23*100</f>
        <v>4.27710405925496</v>
      </c>
      <c r="F24" s="6" t="n">
        <v>2.6</v>
      </c>
      <c r="G24" s="28" t="n">
        <f aca="false">C24-E24</f>
        <v>1.31545221256012</v>
      </c>
      <c r="H24" s="28" t="n">
        <f aca="false">C24-F24</f>
        <v>2.99255627181507</v>
      </c>
    </row>
    <row r="25" customFormat="false" ht="15" hidden="false" customHeight="true" outlineLevel="0" collapsed="false">
      <c r="A25" s="38" t="n">
        <v>2020</v>
      </c>
      <c r="B25" s="13" t="n">
        <v>26945.4</v>
      </c>
      <c r="C25" s="28" t="n">
        <f aca="false">(B25-B24)/B24*100</f>
        <v>18.6008433321303</v>
      </c>
      <c r="D25" s="13" t="n">
        <v>21375.3</v>
      </c>
      <c r="E25" s="28" t="n">
        <f aca="false">(D25-D24)/D24*100</f>
        <v>-0.764623955431758</v>
      </c>
      <c r="F25" s="6" t="n">
        <v>-2.1</v>
      </c>
      <c r="G25" s="28" t="n">
        <f aca="false">C25-E25</f>
        <v>19.365467287562</v>
      </c>
      <c r="H25" s="28" t="n">
        <f aca="false">C25-F25</f>
        <v>20.7008433321303</v>
      </c>
    </row>
    <row r="26" customFormat="false" ht="15" hidden="false" customHeight="true" outlineLevel="0" collapsed="false">
      <c r="A26" s="38" t="n">
        <v>2021</v>
      </c>
      <c r="B26" s="13" t="n">
        <v>28428.9</v>
      </c>
      <c r="C26" s="28" t="n">
        <f aca="false">(B26-B25)/B25*100</f>
        <v>5.50557794651406</v>
      </c>
      <c r="D26" s="13" t="n">
        <v>23725.6</v>
      </c>
      <c r="E26" s="28" t="n">
        <f aca="false">(D26-D25)/D25*100</f>
        <v>10.9954012341347</v>
      </c>
      <c r="F26" s="6" t="n">
        <v>6.2</v>
      </c>
      <c r="G26" s="28" t="n">
        <f aca="false">C26-E26</f>
        <v>-5.48982328762066</v>
      </c>
      <c r="H26" s="28" t="n">
        <f aca="false">C26-F26</f>
        <v>-0.694422053485939</v>
      </c>
    </row>
    <row r="27" customFormat="false" ht="15" hidden="false" customHeight="true" outlineLevel="0" collapsed="false">
      <c r="A27" s="38" t="n">
        <v>2022</v>
      </c>
      <c r="B27" s="13" t="n">
        <v>30928.9</v>
      </c>
      <c r="C27" s="28" t="n">
        <f aca="false">(B27-B26)/B26*100</f>
        <v>8.79386821157343</v>
      </c>
      <c r="D27" s="13" t="n">
        <v>26054.6</v>
      </c>
      <c r="E27" s="28" t="n">
        <f aca="false">(D27-D26)/D26*100</f>
        <v>9.81640084971508</v>
      </c>
      <c r="F27" s="6" t="n">
        <v>2.5</v>
      </c>
      <c r="G27" s="28" t="n">
        <f aca="false">C27-E27</f>
        <v>-1.02253263814164</v>
      </c>
      <c r="H27" s="28" t="n">
        <f aca="false">C27-F27</f>
        <v>6.29386821157343</v>
      </c>
    </row>
    <row r="28" customFormat="false" ht="15" hidden="false" customHeight="true" outlineLevel="0" collapsed="false">
      <c r="A28" s="38" t="n">
        <v>2023</v>
      </c>
      <c r="B28" s="13" t="n">
        <v>33167.3</v>
      </c>
      <c r="C28" s="28" t="n">
        <f aca="false">(B28-B27)/B27*100</f>
        <v>7.23724413089376</v>
      </c>
      <c r="D28" s="13" t="n">
        <v>27811.5</v>
      </c>
      <c r="E28" s="28" t="n">
        <f aca="false">(D28-D27)/D27*100</f>
        <v>6.74314708343249</v>
      </c>
      <c r="F28" s="6" t="n">
        <v>2.9</v>
      </c>
      <c r="G28" s="28" t="n">
        <f aca="false">C28-E28</f>
        <v>0.494097047461274</v>
      </c>
      <c r="H28" s="28" t="n">
        <f aca="false">C28-F28</f>
        <v>4.33724413089376</v>
      </c>
    </row>
    <row r="29" customFormat="false" ht="15" hidden="false" customHeight="true" outlineLevel="0" collapsed="false">
      <c r="A29" s="38" t="n">
        <v>2024</v>
      </c>
      <c r="B29" s="13" t="n">
        <v>35464.7</v>
      </c>
      <c r="C29" s="28" t="n">
        <f aca="false">(B29-B28)/B28*100</f>
        <v>6.92670190217472</v>
      </c>
      <c r="D29" s="13" t="n">
        <v>29298</v>
      </c>
      <c r="E29" s="28" t="n">
        <f aca="false">(D29-D28)/D28*100</f>
        <v>5.34491127770886</v>
      </c>
      <c r="F29" s="6" t="n">
        <v>2.8</v>
      </c>
      <c r="G29" s="28" t="n">
        <f aca="false">C29-E29</f>
        <v>1.58179062446585</v>
      </c>
      <c r="H29" s="28" t="n">
        <f aca="false">C29-F29</f>
        <v>4.12670190217472</v>
      </c>
    </row>
    <row r="30" customFormat="false" ht="15" hidden="false" customHeight="true" outlineLevel="0" collapsed="false">
      <c r="A30" s="38" t="n">
        <v>2025</v>
      </c>
      <c r="B30" s="13" t="n">
        <v>37637.6</v>
      </c>
      <c r="C30" s="41" t="n">
        <f aca="false">(B30-B29)/B29*100</f>
        <v>6.12693748995481</v>
      </c>
      <c r="D30" s="13" t="n">
        <v>30762.1</v>
      </c>
      <c r="E30" s="41" t="n">
        <f aca="false">(D30-D29)/D29*100</f>
        <v>4.9972694381869</v>
      </c>
      <c r="F30" s="6" t="n">
        <v>2.1</v>
      </c>
      <c r="G30" s="41" t="n">
        <f aca="false">C30-E30</f>
        <v>1.1296680517679</v>
      </c>
      <c r="H30" s="41" t="n">
        <f aca="false">C30-F30</f>
        <v>4.0269374899548</v>
      </c>
    </row>
    <row r="31" customFormat="false" ht="15" hidden="false" customHeight="true" outlineLevel="0" collapsed="false">
      <c r="A31" s="1" t="s">
        <v>507</v>
      </c>
    </row>
    <row r="32" customFormat="false" ht="15" hidden="false" customHeight="true" outlineLevel="0" collapsed="false">
      <c r="A32" s="3" t="s">
        <v>508</v>
      </c>
    </row>
    <row r="33" customFormat="false" ht="15" hidden="false" customHeight="true" outlineLevel="0" collapsed="false">
      <c r="A33" s="3" t="s">
        <v>509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7" min="2" style="1" width="10"/>
  </cols>
  <sheetData>
    <row r="1" customFormat="false" ht="15.75" hidden="false" customHeight="true" outlineLevel="0" collapsed="false">
      <c r="A1" s="2" t="s">
        <v>510</v>
      </c>
    </row>
    <row r="2" customFormat="false" ht="15" hidden="false" customHeight="true" outlineLevel="0" collapsed="false">
      <c r="A2" s="42" t="s">
        <v>511</v>
      </c>
    </row>
    <row r="4" customFormat="false" ht="15" hidden="false" customHeight="true" outlineLevel="0" collapsed="false">
      <c r="A4" s="4" t="s">
        <v>512</v>
      </c>
      <c r="B4" s="24" t="n">
        <v>2000</v>
      </c>
      <c r="C4" s="24" t="n">
        <v>2005</v>
      </c>
      <c r="D4" s="24" t="n">
        <v>2010</v>
      </c>
      <c r="E4" s="24" t="n">
        <v>2015</v>
      </c>
      <c r="F4" s="24" t="n">
        <v>2020</v>
      </c>
      <c r="G4" s="24" t="n">
        <v>2025</v>
      </c>
    </row>
    <row r="5" customFormat="false" ht="15" hidden="false" customHeight="true" outlineLevel="0" collapsed="false">
      <c r="A5" s="5" t="s">
        <v>513</v>
      </c>
      <c r="B5" s="6" t="n">
        <v>317.7</v>
      </c>
      <c r="C5" s="6" t="n">
        <v>670</v>
      </c>
      <c r="D5" s="6" t="n">
        <v>882.3</v>
      </c>
      <c r="E5" s="6" t="n">
        <v>1122.4</v>
      </c>
      <c r="F5" s="6" t="n">
        <v>1251.3</v>
      </c>
      <c r="G5" s="6" t="n">
        <v>1185.5</v>
      </c>
    </row>
    <row r="6" customFormat="false" ht="15" hidden="false" customHeight="true" outlineLevel="0" collapsed="false">
      <c r="A6" s="5" t="s">
        <v>514</v>
      </c>
      <c r="B6" s="6" t="n">
        <v>50.2</v>
      </c>
      <c r="C6" s="6" t="n">
        <v>146</v>
      </c>
      <c r="D6" s="6" t="n">
        <v>269</v>
      </c>
      <c r="E6" s="6" t="n">
        <v>207.1</v>
      </c>
      <c r="F6" s="6" t="n">
        <v>440.6</v>
      </c>
      <c r="G6" s="6" t="n">
        <v>866</v>
      </c>
    </row>
    <row r="7" customFormat="false" ht="15" hidden="false" customHeight="true" outlineLevel="0" collapsed="false">
      <c r="A7" s="5" t="s">
        <v>515</v>
      </c>
      <c r="B7" s="6" t="n">
        <v>60.3</v>
      </c>
      <c r="C7" s="6" t="n">
        <v>310</v>
      </c>
      <c r="D7" s="6" t="n">
        <v>1160.1</v>
      </c>
      <c r="E7" s="6" t="n">
        <v>1246.1</v>
      </c>
      <c r="F7" s="6" t="n">
        <v>1072.3</v>
      </c>
      <c r="G7" s="6" t="n">
        <v>683.5</v>
      </c>
    </row>
    <row r="8" customFormat="false" ht="15" hidden="false" customHeight="true" outlineLevel="0" collapsed="false">
      <c r="A8" s="5" t="s">
        <v>516</v>
      </c>
      <c r="B8" s="6" t="n">
        <v>171.3</v>
      </c>
      <c r="C8" s="6" t="n">
        <v>245</v>
      </c>
      <c r="D8" s="6" t="n">
        <v>451.6</v>
      </c>
      <c r="E8" s="6" t="n">
        <v>1231.3</v>
      </c>
      <c r="F8" s="6" t="n">
        <v>1623.9</v>
      </c>
      <c r="G8" s="6" t="n">
        <v>2543.6</v>
      </c>
    </row>
    <row r="9" customFormat="false" ht="15" hidden="false" customHeight="true" outlineLevel="0" collapsed="false">
      <c r="A9" s="5" t="s">
        <v>517</v>
      </c>
      <c r="B9" s="6" t="n">
        <v>415.7</v>
      </c>
      <c r="C9" s="6" t="n">
        <v>662.9</v>
      </c>
      <c r="D9" s="6" t="n">
        <v>1652.8</v>
      </c>
      <c r="E9" s="6" t="n">
        <v>2337.3</v>
      </c>
      <c r="F9" s="6" t="n">
        <v>2682.6</v>
      </c>
      <c r="G9" s="6" t="n">
        <v>3992.3</v>
      </c>
    </row>
    <row r="10" customFormat="false" ht="15" hidden="false" customHeight="true" outlineLevel="0" collapsed="false">
      <c r="A10" s="4" t="s">
        <v>518</v>
      </c>
      <c r="B10" s="7" t="n">
        <f aca="false">SUM(B5:B9)</f>
        <v>1015.2</v>
      </c>
      <c r="C10" s="7" t="n">
        <f aca="false">SUM(C5:C9)</f>
        <v>2033.9</v>
      </c>
      <c r="D10" s="7" t="n">
        <f aca="false">SUM(D5:D9)</f>
        <v>4415.8</v>
      </c>
      <c r="E10" s="7" t="n">
        <f aca="false">SUM(E5:E9)</f>
        <v>6144.2</v>
      </c>
      <c r="F10" s="7" t="n">
        <f aca="false">SUM(F5:F9)</f>
        <v>7070.7</v>
      </c>
      <c r="G10" s="7" t="n">
        <f aca="false">SUM(G5:G9)</f>
        <v>9270.9</v>
      </c>
    </row>
    <row r="12" customFormat="false" ht="15" hidden="false" customHeight="true" outlineLevel="0" collapsed="false">
      <c r="A12" s="4" t="s">
        <v>519</v>
      </c>
    </row>
    <row r="13" customFormat="false" ht="15" hidden="false" customHeight="true" outlineLevel="0" collapsed="false">
      <c r="A13" s="4" t="s">
        <v>520</v>
      </c>
      <c r="B13" s="24" t="n">
        <v>2000</v>
      </c>
      <c r="C13" s="24" t="n">
        <v>2005</v>
      </c>
      <c r="D13" s="24" t="n">
        <v>2010</v>
      </c>
      <c r="E13" s="24" t="n">
        <v>2015</v>
      </c>
      <c r="F13" s="24" t="n">
        <v>2020</v>
      </c>
      <c r="G13" s="24" t="n">
        <v>2025</v>
      </c>
    </row>
    <row r="14" customFormat="false" ht="15" hidden="false" customHeight="true" outlineLevel="0" collapsed="false">
      <c r="A14" s="5" t="s">
        <v>513</v>
      </c>
      <c r="B14" s="43" t="n">
        <f aca="false">(B5/$B5-1)*100</f>
        <v>0</v>
      </c>
      <c r="C14" s="43" t="n">
        <f aca="false">(C5/$B5-1)*100</f>
        <v>110.890777463015</v>
      </c>
      <c r="D14" s="43" t="n">
        <f aca="false">(D5/$B5-1)*100</f>
        <v>177.714825306893</v>
      </c>
      <c r="E14" s="43" t="n">
        <f aca="false">(E5/$B5-1)*100</f>
        <v>253.289266603714</v>
      </c>
      <c r="F14" s="43" t="n">
        <f aca="false">(F5/$B5-1)*100</f>
        <v>293.862134088763</v>
      </c>
      <c r="G14" s="43" t="n">
        <f aca="false">(G5/$B5-1)*100</f>
        <v>273.150771167768</v>
      </c>
    </row>
    <row r="15" customFormat="false" ht="15" hidden="false" customHeight="true" outlineLevel="0" collapsed="false">
      <c r="A15" s="5" t="s">
        <v>514</v>
      </c>
      <c r="B15" s="43" t="n">
        <f aca="false">(B6/$B6-1)*100</f>
        <v>0</v>
      </c>
      <c r="C15" s="43" t="n">
        <f aca="false">(C6/$B6-1)*100</f>
        <v>190.836653386454</v>
      </c>
      <c r="D15" s="43" t="n">
        <f aca="false">(D6/$B6-1)*100</f>
        <v>435.856573705179</v>
      </c>
      <c r="E15" s="43" t="n">
        <f aca="false">(E6/$B6-1)*100</f>
        <v>312.549800796813</v>
      </c>
      <c r="F15" s="43" t="n">
        <f aca="false">(F6/$B6-1)*100</f>
        <v>777.689243027888</v>
      </c>
      <c r="G15" s="43" t="n">
        <f aca="false">(G6/$B6-1)*100</f>
        <v>1625.09960159363</v>
      </c>
    </row>
    <row r="16" customFormat="false" ht="15" hidden="false" customHeight="true" outlineLevel="0" collapsed="false">
      <c r="A16" s="5" t="s">
        <v>515</v>
      </c>
      <c r="B16" s="43" t="n">
        <f aca="false">(B7/$B7-1)*100</f>
        <v>0</v>
      </c>
      <c r="C16" s="43" t="n">
        <f aca="false">(C7/$B7-1)*100</f>
        <v>414.096185737977</v>
      </c>
      <c r="D16" s="43" t="n">
        <f aca="false">(D7/$B7-1)*100</f>
        <v>1823.88059701493</v>
      </c>
      <c r="E16" s="43" t="n">
        <f aca="false">(E7/$B7-1)*100</f>
        <v>1966.5008291874</v>
      </c>
      <c r="F16" s="43" t="n">
        <f aca="false">(F7/$B7-1)*100</f>
        <v>1678.27529021559</v>
      </c>
      <c r="G16" s="43" t="n">
        <f aca="false">(G7/$B7-1)*100</f>
        <v>1033.4991708126</v>
      </c>
    </row>
    <row r="17" customFormat="false" ht="15" hidden="false" customHeight="true" outlineLevel="0" collapsed="false">
      <c r="A17" s="5" t="s">
        <v>516</v>
      </c>
      <c r="B17" s="43" t="n">
        <f aca="false">(B8/$B8-1)*100</f>
        <v>0</v>
      </c>
      <c r="C17" s="43" t="n">
        <f aca="false">(C8/$B8-1)*100</f>
        <v>43.0239346176299</v>
      </c>
      <c r="D17" s="43" t="n">
        <f aca="false">(D8/$B8-1)*100</f>
        <v>163.631056625803</v>
      </c>
      <c r="E17" s="43" t="n">
        <f aca="false">(E8/$B8-1)*100</f>
        <v>618.797431406888</v>
      </c>
      <c r="F17" s="43" t="n">
        <f aca="false">(F8/$B8-1)*100</f>
        <v>847.985989492119</v>
      </c>
      <c r="G17" s="43" t="n">
        <f aca="false">(G8/$B8-1)*100</f>
        <v>1384.88032691185</v>
      </c>
    </row>
    <row r="18" customFormat="false" ht="15" hidden="false" customHeight="true" outlineLevel="0" collapsed="false">
      <c r="A18" s="5" t="s">
        <v>517</v>
      </c>
      <c r="B18" s="43" t="n">
        <f aca="false">(B9/$B9-1)*100</f>
        <v>0</v>
      </c>
      <c r="C18" s="43" t="n">
        <f aca="false">(C9/$B9-1)*100</f>
        <v>59.4659610295887</v>
      </c>
      <c r="D18" s="43" t="n">
        <f aca="false">(D9/$B9-1)*100</f>
        <v>297.594419052201</v>
      </c>
      <c r="E18" s="43" t="n">
        <f aca="false">(E9/$B9-1)*100</f>
        <v>462.256434929035</v>
      </c>
      <c r="F18" s="43" t="n">
        <f aca="false">(F9/$B9-1)*100</f>
        <v>545.321145056531</v>
      </c>
      <c r="G18" s="43" t="n">
        <f aca="false">(G9/$B9-1)*100</f>
        <v>860.380081789752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92"/>
    <col collapsed="false" customWidth="true" hidden="false" outlineLevel="0" max="2" min="2" style="1" width="20"/>
  </cols>
  <sheetData>
    <row r="1" customFormat="false" ht="15.75" hidden="false" customHeight="true" outlineLevel="0" collapsed="false">
      <c r="A1" s="2" t="s">
        <v>56</v>
      </c>
    </row>
    <row r="2" customFormat="false" ht="15" hidden="false" customHeight="true" outlineLevel="0" collapsed="false">
      <c r="A2" s="3" t="s">
        <v>57</v>
      </c>
    </row>
    <row r="4" customFormat="false" ht="15" hidden="false" customHeight="true" outlineLevel="0" collapsed="false">
      <c r="A4" s="4" t="s">
        <v>58</v>
      </c>
    </row>
    <row r="5" customFormat="false" ht="15" hidden="false" customHeight="true" outlineLevel="0" collapsed="false">
      <c r="A5" s="5" t="s">
        <v>59</v>
      </c>
      <c r="B5" s="6" t="n">
        <v>3917.2</v>
      </c>
    </row>
    <row r="6" customFormat="false" ht="15" hidden="false" customHeight="true" outlineLevel="0" collapsed="false">
      <c r="A6" s="5" t="s">
        <v>60</v>
      </c>
      <c r="B6" s="6" t="n">
        <v>2138</v>
      </c>
    </row>
    <row r="7" customFormat="false" ht="15" hidden="false" customHeight="true" outlineLevel="0" collapsed="false">
      <c r="A7" s="5" t="s">
        <v>61</v>
      </c>
      <c r="B7" s="6" t="n">
        <v>1127.7</v>
      </c>
    </row>
    <row r="8" customFormat="false" ht="15" hidden="false" customHeight="true" outlineLevel="0" collapsed="false">
      <c r="A8" s="4" t="s">
        <v>62</v>
      </c>
      <c r="B8" s="7" t="n">
        <f aca="false">SUM(B5:B7)</f>
        <v>7182.9</v>
      </c>
    </row>
    <row r="9" customFormat="false" ht="15" hidden="false" customHeight="true" outlineLevel="0" collapsed="false">
      <c r="A9" s="3" t="s">
        <v>63</v>
      </c>
    </row>
    <row r="11" customFormat="false" ht="15" hidden="false" customHeight="true" outlineLevel="0" collapsed="false">
      <c r="A11" s="4" t="s">
        <v>64</v>
      </c>
    </row>
    <row r="12" customFormat="false" ht="15" hidden="false" customHeight="true" outlineLevel="0" collapsed="false">
      <c r="A12" s="5" t="s">
        <v>65</v>
      </c>
      <c r="B12" s="8" t="s">
        <v>66</v>
      </c>
    </row>
    <row r="13" customFormat="false" ht="15" hidden="false" customHeight="true" outlineLevel="0" collapsed="false">
      <c r="A13" s="9" t="n">
        <v>15</v>
      </c>
      <c r="B13" s="10" t="n">
        <f aca="false">$B$8*A13</f>
        <v>107743.5</v>
      </c>
    </row>
    <row r="14" customFormat="false" ht="15" hidden="false" customHeight="true" outlineLevel="0" collapsed="false">
      <c r="A14" s="9" t="n">
        <v>20</v>
      </c>
      <c r="B14" s="10" t="n">
        <f aca="false">$B$8*A14</f>
        <v>143658</v>
      </c>
    </row>
    <row r="15" customFormat="false" ht="15" hidden="false" customHeight="true" outlineLevel="0" collapsed="false">
      <c r="A15" s="9" t="n">
        <v>25</v>
      </c>
      <c r="B15" s="10" t="n">
        <f aca="false">$B$8*A15</f>
        <v>179572.5</v>
      </c>
    </row>
    <row r="16" customFormat="false" ht="15" hidden="false" customHeight="true" outlineLevel="0" collapsed="false">
      <c r="A16" s="9" t="n">
        <v>30</v>
      </c>
      <c r="B16" s="10" t="n">
        <f aca="false">$B$8*A16</f>
        <v>215487</v>
      </c>
    </row>
    <row r="17" customFormat="false" ht="15" hidden="false" customHeight="true" outlineLevel="0" collapsed="false">
      <c r="A17" s="5" t="s">
        <v>67</v>
      </c>
      <c r="B17" s="11" t="n">
        <f aca="false">'Valuation Blend'!D10</f>
        <v>15.099360982333</v>
      </c>
    </row>
    <row r="18" customFormat="false" ht="15" hidden="false" customHeight="true" outlineLevel="0" collapsed="false">
      <c r="A18" s="4" t="s">
        <v>68</v>
      </c>
      <c r="B18" s="12" t="n">
        <f aca="false">B8*B17</f>
        <v>108457.2</v>
      </c>
    </row>
    <row r="20" customFormat="false" ht="15" hidden="false" customHeight="true" outlineLevel="0" collapsed="false">
      <c r="A20" s="4" t="s">
        <v>69</v>
      </c>
    </row>
    <row r="21" customFormat="false" ht="15" hidden="false" customHeight="true" outlineLevel="0" collapsed="false">
      <c r="A21" s="5" t="s">
        <v>70</v>
      </c>
      <c r="B21" s="13" t="n">
        <v>22587.7</v>
      </c>
    </row>
    <row r="22" customFormat="false" ht="15" hidden="false" customHeight="true" outlineLevel="0" collapsed="false">
      <c r="A22" s="4" t="s">
        <v>71</v>
      </c>
      <c r="B22" s="12" t="n">
        <f aca="false">B18+B21</f>
        <v>131044.9</v>
      </c>
    </row>
    <row r="23" customFormat="false" ht="15" hidden="false" customHeight="true" outlineLevel="0" collapsed="false">
      <c r="A23" s="5" t="s">
        <v>72</v>
      </c>
      <c r="B23" s="14" t="n">
        <v>0.055</v>
      </c>
    </row>
    <row r="24" customFormat="false" ht="15" hidden="false" customHeight="true" outlineLevel="0" collapsed="false">
      <c r="A24" s="5" t="s">
        <v>73</v>
      </c>
      <c r="B24" s="10" t="n">
        <f aca="false">B21*B23</f>
        <v>1242.3235</v>
      </c>
    </row>
    <row r="25" customFormat="false" ht="15" hidden="false" customHeight="true" outlineLevel="0" collapsed="false">
      <c r="A25" s="5" t="s">
        <v>74</v>
      </c>
      <c r="B25" s="10" t="n">
        <f aca="false">B8+B24</f>
        <v>8425.2235</v>
      </c>
    </row>
    <row r="26" customFormat="false" ht="15" hidden="false" customHeight="true" outlineLevel="0" collapsed="false">
      <c r="A26" s="15" t="s">
        <v>75</v>
      </c>
      <c r="B26" s="16" t="n">
        <f aca="false">B25/B22</f>
        <v>0.0642926470240353</v>
      </c>
    </row>
    <row r="28" customFormat="false" ht="15" hidden="false" customHeight="true" outlineLevel="0" collapsed="false">
      <c r="A28" s="4" t="s">
        <v>76</v>
      </c>
    </row>
    <row r="29" customFormat="false" ht="15" hidden="false" customHeight="true" outlineLevel="0" collapsed="false">
      <c r="A29" s="5" t="s">
        <v>77</v>
      </c>
      <c r="B29" s="13" t="n">
        <v>48700</v>
      </c>
    </row>
    <row r="30" customFormat="false" ht="15" hidden="false" customHeight="true" outlineLevel="0" collapsed="false">
      <c r="A30" s="5" t="s">
        <v>78</v>
      </c>
      <c r="B30" s="13" t="n">
        <v>20600</v>
      </c>
    </row>
    <row r="31" customFormat="false" ht="15" hidden="false" customHeight="true" outlineLevel="0" collapsed="false">
      <c r="A31" s="5" t="s">
        <v>79</v>
      </c>
      <c r="B31" s="13" t="n">
        <v>-13800</v>
      </c>
    </row>
    <row r="33" customFormat="false" ht="15" hidden="false" customHeight="true" outlineLevel="0" collapsed="false">
      <c r="A33" s="4" t="s">
        <v>80</v>
      </c>
      <c r="B33" s="12" t="n">
        <f aca="false">B18+B29+B30+B31</f>
        <v>163957.2</v>
      </c>
    </row>
    <row r="35" customFormat="false" ht="15" hidden="false" customHeight="true" outlineLevel="0" collapsed="false">
      <c r="A35" s="4" t="s">
        <v>81</v>
      </c>
    </row>
    <row r="36" customFormat="false" ht="15" hidden="false" customHeight="true" outlineLevel="0" collapsed="false">
      <c r="A36" s="5" t="s">
        <v>82</v>
      </c>
      <c r="B36" s="13" t="n">
        <v>166680.6</v>
      </c>
    </row>
    <row r="37" customFormat="false" ht="15" hidden="false" customHeight="true" outlineLevel="0" collapsed="false">
      <c r="A37" s="5" t="s">
        <v>83</v>
      </c>
      <c r="B37" s="10" t="n">
        <f aca="false">B33-B36</f>
        <v>-2723.39999999999</v>
      </c>
    </row>
    <row r="38" customFormat="false" ht="15" hidden="false" customHeight="true" outlineLevel="0" collapsed="false">
      <c r="A38" s="5" t="s">
        <v>84</v>
      </c>
      <c r="B38" s="13" t="n">
        <v>91857.2</v>
      </c>
    </row>
    <row r="39" customFormat="false" ht="15" hidden="false" customHeight="true" outlineLevel="0" collapsed="false">
      <c r="A39" s="5" t="s">
        <v>85</v>
      </c>
      <c r="B39" s="13" t="n">
        <v>16600</v>
      </c>
    </row>
    <row r="40" customFormat="false" ht="15" hidden="false" customHeight="true" outlineLevel="0" collapsed="false">
      <c r="A40" s="4" t="s">
        <v>86</v>
      </c>
      <c r="B40" s="12" t="n">
        <f aca="false">B38+B39</f>
        <v>108457.2</v>
      </c>
    </row>
    <row r="41" customFormat="false" ht="15" hidden="false" customHeight="true" outlineLevel="0" collapsed="false">
      <c r="A41" s="4" t="s">
        <v>87</v>
      </c>
      <c r="B41" s="17" t="n">
        <f aca="false">B40/B8</f>
        <v>15.099360982333</v>
      </c>
    </row>
    <row r="42" customFormat="false" ht="15" hidden="false" customHeight="true" outlineLevel="0" collapsed="false">
      <c r="A42" s="5" t="s">
        <v>88</v>
      </c>
      <c r="B42" s="10" t="n">
        <f aca="false">B8*B41+B29+B30+B31</f>
        <v>163957.2</v>
      </c>
    </row>
    <row r="43" customFormat="false" ht="15" hidden="false" customHeight="true" outlineLevel="0" collapsed="false">
      <c r="A43" s="5" t="s">
        <v>89</v>
      </c>
      <c r="B43" s="18" t="n">
        <f aca="false">B42/B36-1</f>
        <v>-0.0163390340567529</v>
      </c>
    </row>
    <row r="44" customFormat="false" ht="15" hidden="false" customHeight="true" outlineLevel="0" collapsed="false">
      <c r="A44" s="3" t="s">
        <v>90</v>
      </c>
    </row>
    <row r="46" customFormat="false" ht="15" hidden="false" customHeight="true" outlineLevel="0" collapsed="false">
      <c r="A46" s="4" t="s">
        <v>91</v>
      </c>
    </row>
    <row r="47" customFormat="false" ht="15" hidden="false" customHeight="true" outlineLevel="0" collapsed="false">
      <c r="A47" s="5" t="s">
        <v>92</v>
      </c>
      <c r="B47" s="13" t="n">
        <v>64800</v>
      </c>
    </row>
    <row r="48" customFormat="false" ht="15" hidden="false" customHeight="true" outlineLevel="0" collapsed="false">
      <c r="A48" s="5" t="s">
        <v>93</v>
      </c>
      <c r="B48" s="13" t="n">
        <v>16600</v>
      </c>
    </row>
    <row r="49" customFormat="false" ht="15" hidden="false" customHeight="true" outlineLevel="0" collapsed="false">
      <c r="A49" s="5" t="s">
        <v>94</v>
      </c>
      <c r="B49" s="13" t="n">
        <v>12200</v>
      </c>
    </row>
    <row r="50" customFormat="false" ht="15" hidden="false" customHeight="true" outlineLevel="0" collapsed="false">
      <c r="A50" s="5" t="s">
        <v>95</v>
      </c>
      <c r="B50" s="13" t="n">
        <v>182979.9</v>
      </c>
    </row>
    <row r="51" customFormat="false" ht="15" hidden="false" customHeight="true" outlineLevel="0" collapsed="false">
      <c r="B51" s="19"/>
    </row>
    <row r="52" customFormat="false" ht="15" hidden="false" customHeight="true" outlineLevel="0" collapsed="false">
      <c r="A52" s="15" t="s">
        <v>96</v>
      </c>
    </row>
    <row r="53" customFormat="false" ht="15" hidden="false" customHeight="true" outlineLevel="0" collapsed="false">
      <c r="A53" s="20" t="s">
        <v>97</v>
      </c>
      <c r="B53" s="21" t="n">
        <v>61596.7</v>
      </c>
    </row>
    <row r="54" customFormat="false" ht="15" hidden="false" customHeight="true" outlineLevel="0" collapsed="false">
      <c r="A54" s="20" t="s">
        <v>98</v>
      </c>
      <c r="B54" s="21" t="n">
        <v>19163.3</v>
      </c>
    </row>
    <row r="55" customFormat="false" ht="15" hidden="false" customHeight="true" outlineLevel="0" collapsed="false">
      <c r="A55" s="20" t="s">
        <v>99</v>
      </c>
      <c r="B55" s="21" t="n">
        <v>158</v>
      </c>
    </row>
    <row r="56" customFormat="false" ht="15" hidden="false" customHeight="true" outlineLevel="0" collapsed="false">
      <c r="A56" s="20" t="s">
        <v>100</v>
      </c>
      <c r="B56" s="21" t="n">
        <v>90166.5</v>
      </c>
    </row>
    <row r="57" customFormat="false" ht="15" hidden="false" customHeight="true" outlineLevel="0" collapsed="false">
      <c r="A57" s="20" t="s">
        <v>101</v>
      </c>
      <c r="B57" s="21" t="n">
        <v>4873.7</v>
      </c>
    </row>
    <row r="58" customFormat="false" ht="15" hidden="false" customHeight="true" outlineLevel="0" collapsed="false">
      <c r="A58" s="20" t="s">
        <v>102</v>
      </c>
      <c r="B58" s="21" t="n">
        <v>17112</v>
      </c>
    </row>
    <row r="59" customFormat="false" ht="15" hidden="false" customHeight="true" outlineLevel="0" collapsed="false">
      <c r="A59" s="20" t="s">
        <v>103</v>
      </c>
      <c r="B59" s="22" t="n">
        <v>-26273.1</v>
      </c>
    </row>
    <row r="60" customFormat="false" ht="15" hidden="false" customHeight="true" outlineLevel="0" collapsed="false">
      <c r="A60" s="15" t="s">
        <v>104</v>
      </c>
      <c r="B60" s="23" t="n">
        <f aca="false">SUM(B53:B59)</f>
        <v>166797.1</v>
      </c>
    </row>
    <row r="61" customFormat="false" ht="15" hidden="false" customHeight="true" outlineLevel="0" collapsed="false">
      <c r="A61" s="15"/>
      <c r="B61" s="23"/>
    </row>
    <row r="62" customFormat="false" ht="15" hidden="false" customHeight="true" outlineLevel="0" collapsed="false">
      <c r="A62" s="20" t="s">
        <v>105</v>
      </c>
      <c r="B62" s="21" t="n">
        <v>181631.6</v>
      </c>
    </row>
    <row r="63" customFormat="false" ht="15" hidden="false" customHeight="true" outlineLevel="0" collapsed="false">
      <c r="A63" s="20" t="s">
        <v>106</v>
      </c>
    </row>
    <row r="64" customFormat="false" ht="15" hidden="false" customHeight="true" outlineLevel="0" collapsed="false">
      <c r="A64" s="20"/>
    </row>
    <row r="65" customFormat="false" ht="15" hidden="false" customHeight="true" outlineLevel="0" collapsed="false">
      <c r="A65" s="15" t="s">
        <v>107</v>
      </c>
    </row>
    <row r="66" customFormat="false" ht="15" hidden="false" customHeight="true" outlineLevel="0" collapsed="false">
      <c r="A66" s="20" t="s">
        <v>108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70"/>
    <col collapsed="false" customWidth="true" hidden="false" outlineLevel="0" max="3" min="2" style="1" width="16"/>
  </cols>
  <sheetData>
    <row r="1" customFormat="false" ht="15.75" hidden="false" customHeight="true" outlineLevel="0" collapsed="false">
      <c r="A1" s="2" t="s">
        <v>109</v>
      </c>
    </row>
    <row r="2" customFormat="false" ht="15" hidden="false" customHeight="true" outlineLevel="0" collapsed="false">
      <c r="A2" s="3" t="s">
        <v>110</v>
      </c>
    </row>
    <row r="4" customFormat="false" ht="15" hidden="false" customHeight="true" outlineLevel="0" collapsed="false">
      <c r="A4" s="4" t="s">
        <v>111</v>
      </c>
    </row>
    <row r="5" customFormat="false" ht="15" hidden="false" customHeight="true" outlineLevel="0" collapsed="false">
      <c r="A5" s="5" t="s">
        <v>112</v>
      </c>
      <c r="B5" s="13" t="n">
        <v>31681.308</v>
      </c>
    </row>
    <row r="6" customFormat="false" ht="15" hidden="false" customHeight="true" outlineLevel="0" collapsed="false">
      <c r="A6" s="5" t="s">
        <v>113</v>
      </c>
      <c r="B6" s="13" t="n">
        <v>7781.09</v>
      </c>
    </row>
    <row r="7" customFormat="false" ht="15" hidden="false" customHeight="true" outlineLevel="0" collapsed="false">
      <c r="A7" s="4" t="s">
        <v>114</v>
      </c>
      <c r="B7" s="12" t="n">
        <f aca="false">B5+B6</f>
        <v>39462.398</v>
      </c>
    </row>
    <row r="9" customFormat="false" ht="15" hidden="false" customHeight="true" outlineLevel="0" collapsed="false">
      <c r="A9" s="4" t="s">
        <v>115</v>
      </c>
    </row>
    <row r="10" customFormat="false" ht="15" hidden="false" customHeight="true" outlineLevel="0" collapsed="false">
      <c r="A10" s="5" t="s">
        <v>116</v>
      </c>
      <c r="B10" s="10" t="n">
        <f aca="false">'US Balance Sheet'!B36</f>
        <v>166680.6</v>
      </c>
    </row>
    <row r="11" customFormat="false" ht="15" hidden="false" customHeight="true" outlineLevel="0" collapsed="false">
      <c r="A11" s="5" t="s">
        <v>117</v>
      </c>
      <c r="B11" s="10" t="n">
        <f aca="false">'US Balance Sheet'!B33</f>
        <v>163957.2</v>
      </c>
    </row>
    <row r="12" customFormat="false" ht="15" hidden="false" customHeight="true" outlineLevel="0" collapsed="false">
      <c r="A12" s="5" t="s">
        <v>118</v>
      </c>
      <c r="B12" s="13" t="n">
        <v>182979.9</v>
      </c>
    </row>
    <row r="13" customFormat="false" ht="15" hidden="false" customHeight="true" outlineLevel="0" collapsed="false">
      <c r="A13" s="5" t="s">
        <v>119</v>
      </c>
      <c r="B13" s="10" t="n">
        <f aca="false">B16/2.57</f>
        <v>31850.3112840467</v>
      </c>
    </row>
    <row r="14" customFormat="false" ht="15" hidden="false" customHeight="true" outlineLevel="0" collapsed="false">
      <c r="A14" s="5" t="s">
        <v>120</v>
      </c>
      <c r="B14" s="13" t="n">
        <v>23052.3</v>
      </c>
    </row>
    <row r="15" customFormat="false" ht="15" hidden="false" customHeight="true" outlineLevel="0" collapsed="false">
      <c r="A15" s="5" t="s">
        <v>121</v>
      </c>
      <c r="B15" s="13" t="n">
        <v>5234.616</v>
      </c>
    </row>
    <row r="16" customFormat="false" ht="15" hidden="false" customHeight="true" outlineLevel="0" collapsed="false">
      <c r="A16" s="5" t="s">
        <v>122</v>
      </c>
      <c r="B16" s="13" t="n">
        <v>81855.3</v>
      </c>
    </row>
    <row r="18" customFormat="false" ht="15" hidden="false" customHeight="true" outlineLevel="0" collapsed="false">
      <c r="A18" s="4" t="s">
        <v>123</v>
      </c>
      <c r="B18" s="24" t="s">
        <v>124</v>
      </c>
      <c r="C18" s="24" t="s">
        <v>125</v>
      </c>
    </row>
    <row r="19" customFormat="false" ht="15" hidden="false" customHeight="true" outlineLevel="0" collapsed="false">
      <c r="A19" s="5" t="s">
        <v>126</v>
      </c>
      <c r="B19" s="18" t="n">
        <f aca="false">$B$7/$B$10</f>
        <v>0.236754595315832</v>
      </c>
      <c r="C19" s="18" t="n">
        <f aca="false">$B$5/$B$10</f>
        <v>0.190071957984313</v>
      </c>
    </row>
    <row r="20" customFormat="false" ht="15" hidden="false" customHeight="true" outlineLevel="0" collapsed="false">
      <c r="A20" s="5" t="s">
        <v>127</v>
      </c>
      <c r="B20" s="18" t="n">
        <f aca="false">$B$7/$B$11</f>
        <v>0.240687191535352</v>
      </c>
      <c r="C20" s="18" t="n">
        <f aca="false">$B$5/$B$11</f>
        <v>0.193229135408509</v>
      </c>
    </row>
    <row r="21" customFormat="false" ht="15" hidden="false" customHeight="true" outlineLevel="0" collapsed="false">
      <c r="A21" s="5" t="s">
        <v>128</v>
      </c>
      <c r="B21" s="18" t="n">
        <f aca="false">$B$7/$B$12</f>
        <v>0.215665206943495</v>
      </c>
      <c r="C21" s="18" t="n">
        <f aca="false">$B$5/$B$12</f>
        <v>0.17314091875665</v>
      </c>
    </row>
    <row r="22" customFormat="false" ht="15" hidden="false" customHeight="true" outlineLevel="0" collapsed="false">
      <c r="A22" s="5" t="s">
        <v>129</v>
      </c>
      <c r="B22" s="18" t="n">
        <f aca="false">$B$7/$B$13</f>
        <v>1.23899567724998</v>
      </c>
      <c r="C22" s="18" t="n">
        <f aca="false">$B$5/$B$13</f>
        <v>0.994693826300801</v>
      </c>
    </row>
    <row r="23" customFormat="false" ht="15" hidden="false" customHeight="true" outlineLevel="0" collapsed="false">
      <c r="A23" s="5" t="s">
        <v>130</v>
      </c>
      <c r="B23" s="25" t="n">
        <f aca="false">$B$7/$B$14</f>
        <v>1.71186380534697</v>
      </c>
      <c r="C23" s="25" t="n">
        <f aca="false">$B$5/$B$14</f>
        <v>1.37432308272927</v>
      </c>
    </row>
    <row r="24" customFormat="false" ht="15" hidden="false" customHeight="true" outlineLevel="0" collapsed="false">
      <c r="A24" s="5" t="s">
        <v>131</v>
      </c>
      <c r="B24" s="25" t="n">
        <f aca="false">$B$7/$B$15</f>
        <v>7.53873789404992</v>
      </c>
      <c r="C24" s="25" t="n">
        <f aca="false">$B$5/$B$15</f>
        <v>6.05226973669129</v>
      </c>
    </row>
    <row r="25" customFormat="false" ht="15" hidden="false" customHeight="true" outlineLevel="0" collapsed="false">
      <c r="A25" s="5" t="s">
        <v>132</v>
      </c>
      <c r="B25" s="18" t="n">
        <f aca="false">34472.9/$B$16</f>
        <v>0.421144385274991</v>
      </c>
    </row>
    <row r="27" customFormat="false" ht="15" hidden="false" customHeight="true" outlineLevel="0" collapsed="false">
      <c r="A27" s="4" t="s">
        <v>133</v>
      </c>
    </row>
    <row r="28" customFormat="false" ht="15" hidden="false" customHeight="true" outlineLevel="0" collapsed="false">
      <c r="A28" s="5" t="s">
        <v>134</v>
      </c>
      <c r="B28" s="13" t="n">
        <v>31681.3</v>
      </c>
    </row>
    <row r="29" customFormat="false" ht="15" hidden="false" customHeight="true" outlineLevel="0" collapsed="false">
      <c r="A29" s="5" t="s">
        <v>135</v>
      </c>
      <c r="B29" s="13" t="n">
        <v>34472.9</v>
      </c>
    </row>
    <row r="30" customFormat="false" ht="15" hidden="false" customHeight="true" outlineLevel="0" collapsed="false">
      <c r="A30" s="5" t="s">
        <v>136</v>
      </c>
      <c r="B30" s="10" t="n">
        <f aca="false">B7</f>
        <v>39462.398</v>
      </c>
    </row>
    <row r="32" customFormat="false" ht="15" hidden="false" customHeight="true" outlineLevel="0" collapsed="false">
      <c r="A32" s="4" t="s">
        <v>137</v>
      </c>
    </row>
    <row r="33" customFormat="false" ht="15" hidden="false" customHeight="true" outlineLevel="0" collapsed="false">
      <c r="A33" s="5" t="s">
        <v>114</v>
      </c>
      <c r="B33" s="10" t="n">
        <f aca="false">B7</f>
        <v>39462.398</v>
      </c>
    </row>
    <row r="34" customFormat="false" ht="15" hidden="false" customHeight="true" outlineLevel="0" collapsed="false">
      <c r="A34" s="5" t="s">
        <v>138</v>
      </c>
      <c r="B34" s="10" t="n">
        <f aca="false">B5</f>
        <v>31681.308</v>
      </c>
    </row>
    <row r="35" customFormat="false" ht="15" hidden="false" customHeight="true" outlineLevel="0" collapsed="false">
      <c r="A35" s="5" t="s">
        <v>139</v>
      </c>
      <c r="B35" s="10" t="n">
        <f aca="false">B15</f>
        <v>5234.616</v>
      </c>
    </row>
    <row r="36" customFormat="false" ht="15" hidden="false" customHeight="true" outlineLevel="0" collapsed="false">
      <c r="A36" s="5" t="s">
        <v>140</v>
      </c>
      <c r="B36" s="10" t="n">
        <f aca="false">B14</f>
        <v>23052.3</v>
      </c>
    </row>
    <row r="37" customFormat="false" ht="15" hidden="false" customHeight="true" outlineLevel="0" collapsed="false">
      <c r="A37" s="5" t="s">
        <v>141</v>
      </c>
      <c r="B37" s="10" t="n">
        <f aca="false">B13</f>
        <v>31850.3112840467</v>
      </c>
    </row>
    <row r="38" customFormat="false" ht="15" hidden="false" customHeight="true" outlineLevel="0" collapsed="false">
      <c r="A38" s="5" t="s">
        <v>142</v>
      </c>
      <c r="B38" s="10" t="n">
        <f aca="false">B10</f>
        <v>166680.6</v>
      </c>
    </row>
    <row r="39" customFormat="false" ht="15" hidden="false" customHeight="true" outlineLevel="0" collapsed="false">
      <c r="A39" s="5" t="s">
        <v>143</v>
      </c>
      <c r="B39" s="10" t="n">
        <f aca="false">B12</f>
        <v>182979.9</v>
      </c>
    </row>
    <row r="41" customFormat="false" ht="15" hidden="false" customHeight="true" outlineLevel="0" collapsed="false">
      <c r="A41" s="4" t="s">
        <v>144</v>
      </c>
    </row>
    <row r="42" customFormat="false" ht="15" hidden="false" customHeight="true" outlineLevel="0" collapsed="false">
      <c r="A42" s="5" t="s">
        <v>145</v>
      </c>
      <c r="B42" s="10" t="n">
        <f aca="false">'P&amp;L History'!M34</f>
        <v>37374.964</v>
      </c>
      <c r="C42" s="5" t="s">
        <v>146</v>
      </c>
    </row>
    <row r="43" customFormat="false" ht="15" hidden="false" customHeight="true" outlineLevel="0" collapsed="false">
      <c r="A43" s="5" t="s">
        <v>147</v>
      </c>
      <c r="B43" s="10" t="n">
        <f aca="false">'Historical Data'!B38</f>
        <v>37637.6</v>
      </c>
      <c r="C43" s="5" t="s">
        <v>148</v>
      </c>
    </row>
    <row r="44" customFormat="false" ht="15" hidden="false" customHeight="true" outlineLevel="0" collapsed="false">
      <c r="A44" s="5" t="s">
        <v>149</v>
      </c>
      <c r="B44" s="10" t="n">
        <f aca="false">B43-B42</f>
        <v>262.635999999999</v>
      </c>
      <c r="C44" s="5" t="s">
        <v>150</v>
      </c>
    </row>
    <row r="45" customFormat="false" ht="15" hidden="false" customHeight="true" outlineLevel="0" collapsed="false">
      <c r="A45" s="5" t="s">
        <v>151</v>
      </c>
      <c r="B45" s="10" t="n">
        <f aca="false">B7</f>
        <v>39462.398</v>
      </c>
      <c r="C45" s="5" t="s">
        <v>152</v>
      </c>
    </row>
    <row r="46" customFormat="false" ht="15" hidden="false" customHeight="true" outlineLevel="0" collapsed="false">
      <c r="A46" s="5" t="s">
        <v>153</v>
      </c>
      <c r="B46" s="10" t="n">
        <f aca="false">B45-B43</f>
        <v>1824.798</v>
      </c>
      <c r="C46" s="5" t="s">
        <v>154</v>
      </c>
    </row>
    <row r="47" customFormat="false" ht="15" hidden="false" customHeight="true" outlineLevel="0" collapsed="false">
      <c r="A47" s="5" t="s">
        <v>155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8.71484375" defaultRowHeight="15" zeroHeight="false" outlineLevelRow="0" outlineLevelCol="0"/>
  <cols>
    <col collapsed="false" customWidth="true" hidden="false" outlineLevel="0" max="1" min="1" style="1" width="78"/>
    <col collapsed="false" customWidth="true" hidden="false" outlineLevel="0" max="2" min="2" style="1" width="16"/>
    <col collapsed="false" customWidth="true" hidden="false" outlineLevel="0" max="3" min="3" style="1" width="12"/>
  </cols>
  <sheetData>
    <row r="1" customFormat="false" ht="15.75" hidden="false" customHeight="true" outlineLevel="0" collapsed="false">
      <c r="A1" s="26" t="s">
        <v>156</v>
      </c>
    </row>
    <row r="2" customFormat="false" ht="15" hidden="false" customHeight="true" outlineLevel="0" collapsed="false">
      <c r="A2" s="3" t="s">
        <v>157</v>
      </c>
    </row>
    <row r="4" customFormat="false" ht="15" hidden="false" customHeight="true" outlineLevel="0" collapsed="false">
      <c r="A4" s="5" t="s">
        <v>158</v>
      </c>
      <c r="B4" s="13" t="n">
        <v>3917.2</v>
      </c>
      <c r="C4" s="18" t="n">
        <f aca="false">B4/$B$4</f>
        <v>1</v>
      </c>
    </row>
    <row r="5" customFormat="false" ht="15" hidden="false" customHeight="true" outlineLevel="0" collapsed="false">
      <c r="A5" s="5" t="s">
        <v>159</v>
      </c>
      <c r="B5" s="10" t="n">
        <f aca="false">234.06*8529.16057/1000</f>
        <v>1996.3353230142</v>
      </c>
      <c r="C5" s="18" t="n">
        <f aca="false">B5/$B$4</f>
        <v>0.509633238796641</v>
      </c>
    </row>
    <row r="6" customFormat="false" ht="15" hidden="false" customHeight="true" outlineLevel="0" collapsed="false">
      <c r="A6" s="20" t="s">
        <v>160</v>
      </c>
      <c r="B6" s="10" t="n">
        <v>300</v>
      </c>
      <c r="C6" s="18" t="n">
        <f aca="false">B6/$B$4</f>
        <v>0.0765853160420709</v>
      </c>
    </row>
    <row r="7" customFormat="false" ht="15" hidden="false" customHeight="true" outlineLevel="0" collapsed="false">
      <c r="A7" s="5" t="s">
        <v>161</v>
      </c>
      <c r="B7" s="10" t="n">
        <f aca="false">B4-B5-B6</f>
        <v>1620.8646769858</v>
      </c>
      <c r="C7" s="18" t="n">
        <f aca="false">B7/$B$4</f>
        <v>0.413781445161289</v>
      </c>
    </row>
    <row r="8" customFormat="false" ht="15" hidden="false" customHeight="true" outlineLevel="0" collapsed="false">
      <c r="B8" s="19"/>
    </row>
    <row r="9" customFormat="false" ht="15" hidden="false" customHeight="true" outlineLevel="0" collapsed="false">
      <c r="A9" s="4" t="s">
        <v>162</v>
      </c>
      <c r="B9" s="12" t="n">
        <f aca="false">B5+B6</f>
        <v>2296.3353230142</v>
      </c>
      <c r="C9" s="27" t="n">
        <f aca="false">B9/$B$4</f>
        <v>0.586218554838711</v>
      </c>
    </row>
    <row r="11" customFormat="false" ht="15" hidden="false" customHeight="true" outlineLevel="0" collapsed="false">
      <c r="A11" s="3" t="s">
        <v>163</v>
      </c>
    </row>
    <row r="13" customFormat="false" ht="15" hidden="false" customHeight="true" outlineLevel="0" collapsed="false">
      <c r="A13" s="4" t="s">
        <v>164</v>
      </c>
    </row>
    <row r="14" customFormat="false" ht="15" hidden="false" customHeight="true" outlineLevel="0" collapsed="false">
      <c r="A14" s="5" t="s">
        <v>165</v>
      </c>
      <c r="B14" s="13" t="n">
        <v>91857.2</v>
      </c>
    </row>
    <row r="15" customFormat="false" ht="15" hidden="false" customHeight="true" outlineLevel="0" collapsed="false">
      <c r="A15" s="5" t="s">
        <v>166</v>
      </c>
      <c r="B15" s="13" t="n">
        <v>57708.9</v>
      </c>
    </row>
    <row r="16" customFormat="false" ht="15" hidden="false" customHeight="true" outlineLevel="0" collapsed="false">
      <c r="A16" s="5" t="s">
        <v>167</v>
      </c>
      <c r="B16" s="13" t="n">
        <v>11802.8</v>
      </c>
    </row>
    <row r="17" customFormat="false" ht="15" hidden="false" customHeight="true" outlineLevel="0" collapsed="false">
      <c r="A17" s="5" t="s">
        <v>168</v>
      </c>
      <c r="B17" s="13" t="n">
        <v>22345.6</v>
      </c>
    </row>
    <row r="18" customFormat="false" ht="15" hidden="false" customHeight="true" outlineLevel="0" collapsed="false">
      <c r="A18" s="5" t="s">
        <v>169</v>
      </c>
      <c r="B18" s="13" t="n">
        <v>58437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88"/>
    <col collapsed="false" customWidth="true" hidden="false" outlineLevel="0" max="4" min="2" style="1" width="16"/>
  </cols>
  <sheetData>
    <row r="1" customFormat="false" ht="15.75" hidden="false" customHeight="true" outlineLevel="0" collapsed="false">
      <c r="A1" s="26" t="s">
        <v>170</v>
      </c>
    </row>
    <row r="2" customFormat="false" ht="15" hidden="false" customHeight="true" outlineLevel="0" collapsed="false">
      <c r="A2" s="3" t="s">
        <v>171</v>
      </c>
    </row>
    <row r="4" customFormat="false" ht="15" hidden="false" customHeight="true" outlineLevel="0" collapsed="false">
      <c r="A4" s="4" t="s">
        <v>172</v>
      </c>
      <c r="B4" s="24" t="s">
        <v>173</v>
      </c>
      <c r="C4" s="24" t="s">
        <v>174</v>
      </c>
      <c r="D4" s="24" t="s">
        <v>175</v>
      </c>
    </row>
    <row r="5" customFormat="false" ht="15" hidden="false" customHeight="true" outlineLevel="0" collapsed="false">
      <c r="A5" s="5" t="s">
        <v>176</v>
      </c>
      <c r="B5" s="10" t="n">
        <f aca="false">'Profit Decomposition'!B5</f>
        <v>1996.3353230142</v>
      </c>
      <c r="C5" s="13" t="n">
        <v>58437</v>
      </c>
      <c r="D5" s="25" t="n">
        <f aca="false">C5/B5</f>
        <v>29.2721364624095</v>
      </c>
    </row>
    <row r="6" customFormat="false" ht="15" hidden="false" customHeight="true" outlineLevel="0" collapsed="false">
      <c r="A6" s="5" t="s">
        <v>177</v>
      </c>
      <c r="B6" s="10" t="n">
        <f aca="false">'Profit Decomposition'!B6</f>
        <v>300</v>
      </c>
      <c r="C6" s="10" t="n">
        <f aca="false">B6*D6</f>
        <v>7986</v>
      </c>
      <c r="D6" s="9" t="n">
        <v>26.62</v>
      </c>
    </row>
    <row r="7" customFormat="false" ht="15" hidden="false" customHeight="true" outlineLevel="0" collapsed="false">
      <c r="A7" s="5" t="s">
        <v>178</v>
      </c>
      <c r="B7" s="10" t="n">
        <f aca="false">'Profit Decomposition'!B7</f>
        <v>1620.8646769858</v>
      </c>
      <c r="C7" s="10" t="n">
        <f aca="false">'Profit Decomposition'!B14-C5-C6</f>
        <v>25434.2</v>
      </c>
      <c r="D7" s="25" t="n">
        <f aca="false">C7/B7</f>
        <v>15.6917479670777</v>
      </c>
    </row>
    <row r="8" customFormat="false" ht="15" hidden="false" customHeight="true" outlineLevel="0" collapsed="false">
      <c r="A8" s="5" t="s">
        <v>179</v>
      </c>
      <c r="B8" s="10" t="n">
        <f aca="false">'US Balance Sheet'!B6+'US Balance Sheet'!B7</f>
        <v>3265.7</v>
      </c>
      <c r="C8" s="13" t="n">
        <v>16600</v>
      </c>
      <c r="D8" s="25" t="n">
        <f aca="false">C8/B8</f>
        <v>5.08313684661788</v>
      </c>
    </row>
    <row r="9" customFormat="false" ht="15" hidden="false" customHeight="true" outlineLevel="0" collapsed="false">
      <c r="B9" s="19"/>
      <c r="C9" s="19"/>
    </row>
    <row r="10" customFormat="false" ht="15" hidden="false" customHeight="true" outlineLevel="0" collapsed="false">
      <c r="A10" s="4" t="s">
        <v>180</v>
      </c>
      <c r="B10" s="12" t="n">
        <f aca="false">SUM(B5:B8)</f>
        <v>7182.9</v>
      </c>
      <c r="C10" s="12" t="n">
        <f aca="false">SUM(C5:C8)</f>
        <v>108457.2</v>
      </c>
      <c r="D10" s="17" t="n">
        <f aca="false">C10/B10</f>
        <v>15.099360982333</v>
      </c>
    </row>
    <row r="12" customFormat="false" ht="15" hidden="false" customHeight="true" outlineLevel="0" collapsed="false">
      <c r="A12" s="4" t="s">
        <v>181</v>
      </c>
    </row>
    <row r="13" customFormat="false" ht="15" hidden="false" customHeight="true" outlineLevel="0" collapsed="false">
      <c r="A13" s="5" t="s">
        <v>182</v>
      </c>
      <c r="B13" s="28" t="n">
        <f aca="false">B10-'US Balance Sheet'!B8</f>
        <v>0</v>
      </c>
    </row>
    <row r="14" customFormat="false" ht="15" hidden="false" customHeight="true" outlineLevel="0" collapsed="false">
      <c r="A14" s="5" t="s">
        <v>183</v>
      </c>
      <c r="B14" s="28" t="n">
        <f aca="false">C10-'US Balance Sheet'!B40</f>
        <v>0</v>
      </c>
    </row>
    <row r="15" customFormat="false" ht="15" hidden="false" customHeight="true" outlineLevel="0" collapsed="false">
      <c r="A15" s="5" t="s">
        <v>184</v>
      </c>
      <c r="B15" s="29" t="n">
        <f aca="false">D10-'US Balance Sheet'!B41</f>
        <v>0</v>
      </c>
    </row>
    <row r="17" customFormat="false" ht="15" hidden="false" customHeight="true" outlineLevel="0" collapsed="false">
      <c r="A17" s="3" t="s">
        <v>185</v>
      </c>
    </row>
    <row r="19" customFormat="false" ht="15" hidden="false" customHeight="true" outlineLevel="0" collapsed="false">
      <c r="A19" s="3" t="s">
        <v>186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92"/>
    <col collapsed="false" customWidth="true" hidden="false" outlineLevel="0" max="6" min="2" style="1" width="16"/>
  </cols>
  <sheetData>
    <row r="1" customFormat="false" ht="15.75" hidden="false" customHeight="true" outlineLevel="0" collapsed="false">
      <c r="A1" s="2" t="s">
        <v>187</v>
      </c>
    </row>
    <row r="2" customFormat="false" ht="15" hidden="false" customHeight="true" outlineLevel="0" collapsed="false">
      <c r="A2" s="3" t="s">
        <v>188</v>
      </c>
    </row>
    <row r="4" customFormat="false" ht="15" hidden="false" customHeight="true" outlineLevel="0" collapsed="false">
      <c r="A4" s="4" t="s">
        <v>58</v>
      </c>
    </row>
    <row r="5" customFormat="false" ht="15" hidden="false" customHeight="true" outlineLevel="0" collapsed="false">
      <c r="A5" s="5" t="s">
        <v>59</v>
      </c>
      <c r="B5" s="10" t="n">
        <f aca="false">'US Balance Sheet'!B5</f>
        <v>3917.2</v>
      </c>
      <c r="C5" s="18" t="n">
        <f aca="false">B5/$B$8</f>
        <v>0.545350763619151</v>
      </c>
    </row>
    <row r="6" customFormat="false" ht="15" hidden="false" customHeight="true" outlineLevel="0" collapsed="false">
      <c r="A6" s="5" t="s">
        <v>60</v>
      </c>
      <c r="B6" s="10" t="n">
        <f aca="false">'US Balance Sheet'!B6</f>
        <v>2138</v>
      </c>
      <c r="C6" s="18" t="n">
        <f aca="false">B6/$B$8</f>
        <v>0.297651366439739</v>
      </c>
    </row>
    <row r="7" customFormat="false" ht="15" hidden="false" customHeight="true" outlineLevel="0" collapsed="false">
      <c r="A7" s="5" t="s">
        <v>61</v>
      </c>
      <c r="B7" s="10" t="n">
        <f aca="false">'US Balance Sheet'!B7</f>
        <v>1127.7</v>
      </c>
      <c r="C7" s="18" t="n">
        <f aca="false">B7/$B$8</f>
        <v>0.15699786994111</v>
      </c>
    </row>
    <row r="8" customFormat="false" ht="15" hidden="false" customHeight="true" outlineLevel="0" collapsed="false">
      <c r="A8" s="4" t="s">
        <v>189</v>
      </c>
      <c r="B8" s="12" t="n">
        <f aca="false">SUM(B5:B7)</f>
        <v>7182.9</v>
      </c>
      <c r="C8" s="27" t="n">
        <f aca="false">B8/$B$8</f>
        <v>1</v>
      </c>
    </row>
    <row r="10" customFormat="false" ht="15" hidden="false" customHeight="true" outlineLevel="0" collapsed="false">
      <c r="A10" s="4" t="s">
        <v>190</v>
      </c>
    </row>
    <row r="11" customFormat="false" ht="15" hidden="false" customHeight="true" outlineLevel="0" collapsed="false">
      <c r="A11" s="4" t="s">
        <v>172</v>
      </c>
      <c r="B11" s="24" t="s">
        <v>173</v>
      </c>
      <c r="C11" s="24" t="s">
        <v>191</v>
      </c>
      <c r="D11" s="24" t="s">
        <v>174</v>
      </c>
      <c r="E11" s="24" t="s">
        <v>192</v>
      </c>
      <c r="F11" s="24" t="s">
        <v>175</v>
      </c>
    </row>
    <row r="12" customFormat="false" ht="15" hidden="false" customHeight="true" outlineLevel="0" collapsed="false">
      <c r="A12" s="5" t="s">
        <v>193</v>
      </c>
      <c r="B12" s="10" t="n">
        <f aca="false">'Valuation Blend'!B5</f>
        <v>1996.3353230142</v>
      </c>
      <c r="C12" s="18" t="n">
        <f aca="false">B12/$B$16</f>
        <v>0.277928875943449</v>
      </c>
      <c r="D12" s="10" t="n">
        <f aca="false">'Valuation Blend'!C5</f>
        <v>58437</v>
      </c>
      <c r="E12" s="18" t="n">
        <f aca="false">D12/$D$16</f>
        <v>0.538802403159956</v>
      </c>
      <c r="F12" s="25" t="n">
        <f aca="false">D12/B12</f>
        <v>29.2721364624095</v>
      </c>
    </row>
    <row r="13" customFormat="false" ht="15" hidden="false" customHeight="true" outlineLevel="0" collapsed="false">
      <c r="A13" s="5" t="s">
        <v>194</v>
      </c>
      <c r="B13" s="10" t="n">
        <f aca="false">'Valuation Blend'!B6</f>
        <v>300</v>
      </c>
      <c r="C13" s="18" t="n">
        <f aca="false">B13/$B$16</f>
        <v>0.0417658605855574</v>
      </c>
      <c r="D13" s="10" t="n">
        <f aca="false">'Valuation Blend'!C6</f>
        <v>7986</v>
      </c>
      <c r="E13" s="18" t="n">
        <f aca="false">D13/$D$16</f>
        <v>0.0736327325433443</v>
      </c>
      <c r="F13" s="25" t="n">
        <f aca="false">D13/B13</f>
        <v>26.62</v>
      </c>
    </row>
    <row r="14" customFormat="false" ht="15" hidden="false" customHeight="true" outlineLevel="0" collapsed="false">
      <c r="A14" s="5" t="s">
        <v>195</v>
      </c>
      <c r="B14" s="10" t="n">
        <f aca="false">'Valuation Blend'!B7</f>
        <v>1620.8646769858</v>
      </c>
      <c r="C14" s="18" t="n">
        <f aca="false">B14/$B$16</f>
        <v>0.225656027090145</v>
      </c>
      <c r="D14" s="10" t="n">
        <f aca="false">'Valuation Blend'!C7</f>
        <v>25434.2</v>
      </c>
      <c r="E14" s="18" t="n">
        <f aca="false">D14/$D$16</f>
        <v>0.234509096675924</v>
      </c>
      <c r="F14" s="25" t="n">
        <f aca="false">D14/B14</f>
        <v>15.6917479670777</v>
      </c>
    </row>
    <row r="15" customFormat="false" ht="15" hidden="false" customHeight="true" outlineLevel="0" collapsed="false">
      <c r="A15" s="5" t="s">
        <v>179</v>
      </c>
      <c r="B15" s="10" t="n">
        <f aca="false">'Valuation Blend'!B8</f>
        <v>3265.7</v>
      </c>
      <c r="C15" s="18" t="n">
        <f aca="false">B15/$B$16</f>
        <v>0.454649236380849</v>
      </c>
      <c r="D15" s="10" t="n">
        <f aca="false">'Valuation Blend'!C8</f>
        <v>16600</v>
      </c>
      <c r="E15" s="18" t="n">
        <f aca="false">D15/$D$16</f>
        <v>0.153055767620776</v>
      </c>
      <c r="F15" s="25" t="n">
        <f aca="false">D15/B15</f>
        <v>5.08313684661788</v>
      </c>
    </row>
    <row r="16" customFormat="false" ht="15" hidden="false" customHeight="true" outlineLevel="0" collapsed="false">
      <c r="A16" s="4" t="s">
        <v>180</v>
      </c>
      <c r="B16" s="12" t="n">
        <f aca="false">SUM(B12:B15)</f>
        <v>7182.9</v>
      </c>
      <c r="C16" s="27" t="n">
        <f aca="false">B16/$B$16</f>
        <v>1</v>
      </c>
      <c r="D16" s="12" t="n">
        <f aca="false">SUM(D12:D15)</f>
        <v>108457.2</v>
      </c>
      <c r="E16" s="27" t="n">
        <f aca="false">D16/$D$16</f>
        <v>1</v>
      </c>
      <c r="F16" s="17" t="n">
        <f aca="false">D16/B16</f>
        <v>15.099360982333</v>
      </c>
    </row>
    <row r="17" customFormat="false" ht="15" hidden="false" customHeight="true" outlineLevel="0" collapsed="false">
      <c r="D17" s="19"/>
    </row>
    <row r="18" customFormat="false" ht="15" hidden="false" customHeight="true" outlineLevel="0" collapsed="false">
      <c r="A18" s="4" t="s">
        <v>196</v>
      </c>
      <c r="D18" s="19"/>
    </row>
    <row r="19" customFormat="false" ht="15" hidden="false" customHeight="true" outlineLevel="0" collapsed="false">
      <c r="A19" s="5" t="s">
        <v>165</v>
      </c>
      <c r="D19" s="10" t="n">
        <f aca="false">'Profit Decomposition'!B14</f>
        <v>91857.2</v>
      </c>
    </row>
    <row r="20" customFormat="false" ht="15" hidden="false" customHeight="true" outlineLevel="0" collapsed="false">
      <c r="A20" s="5" t="s">
        <v>166</v>
      </c>
      <c r="D20" s="10" t="n">
        <f aca="false">'Profit Decomposition'!B15</f>
        <v>57708.9</v>
      </c>
    </row>
    <row r="21" customFormat="false" ht="15" hidden="false" customHeight="true" outlineLevel="0" collapsed="false">
      <c r="A21" s="5" t="s">
        <v>167</v>
      </c>
      <c r="D21" s="10" t="n">
        <f aca="false">'Profit Decomposition'!B16</f>
        <v>11802.8</v>
      </c>
    </row>
    <row r="22" customFormat="false" ht="15" hidden="false" customHeight="true" outlineLevel="0" collapsed="false">
      <c r="A22" s="5" t="s">
        <v>168</v>
      </c>
      <c r="D22" s="10" t="n">
        <f aca="false">'Profit Decomposition'!B17</f>
        <v>22345.6</v>
      </c>
    </row>
    <row r="24" customFormat="false" ht="15" hidden="false" customHeight="true" outlineLevel="0" collapsed="false">
      <c r="A24" s="4" t="s">
        <v>181</v>
      </c>
    </row>
    <row r="25" customFormat="false" ht="15" hidden="false" customHeight="true" outlineLevel="0" collapsed="false">
      <c r="A25" s="5" t="s">
        <v>197</v>
      </c>
      <c r="B25" s="28" t="n">
        <f aca="false">B16-B8</f>
        <v>0</v>
      </c>
    </row>
    <row r="26" customFormat="false" ht="15" hidden="false" customHeight="true" outlineLevel="0" collapsed="false">
      <c r="A26" s="5" t="s">
        <v>198</v>
      </c>
      <c r="B26" s="28" t="n">
        <f aca="false">D16-'US Balance Sheet'!B40</f>
        <v>0</v>
      </c>
    </row>
    <row r="27" customFormat="false" ht="15" hidden="false" customHeight="true" outlineLevel="0" collapsed="false">
      <c r="A27" s="5" t="s">
        <v>184</v>
      </c>
      <c r="B27" s="29" t="n">
        <f aca="false">F16-'US Balance Sheet'!B41</f>
        <v>0</v>
      </c>
    </row>
    <row r="29" customFormat="false" ht="15" hidden="false" customHeight="true" outlineLevel="0" collapsed="false">
      <c r="A29" s="3" t="s">
        <v>199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92"/>
    <col collapsed="false" customWidth="true" hidden="false" outlineLevel="0" max="3" min="2" style="1" width="18"/>
  </cols>
  <sheetData>
    <row r="1" customFormat="false" ht="15.75" hidden="false" customHeight="true" outlineLevel="0" collapsed="false">
      <c r="A1" s="2" t="s">
        <v>200</v>
      </c>
    </row>
    <row r="2" customFormat="false" ht="15" hidden="false" customHeight="true" outlineLevel="0" collapsed="false">
      <c r="A2" s="3" t="s">
        <v>201</v>
      </c>
    </row>
    <row r="4" customFormat="false" ht="15" hidden="false" customHeight="true" outlineLevel="0" collapsed="false">
      <c r="A4" s="4" t="s">
        <v>202</v>
      </c>
    </row>
    <row r="5" customFormat="false" ht="15" hidden="false" customHeight="true" outlineLevel="0" collapsed="false">
      <c r="A5" s="5" t="s">
        <v>203</v>
      </c>
      <c r="B5" s="10" t="n">
        <f aca="false">'US Balance Sheet'!B40</f>
        <v>108457.2</v>
      </c>
      <c r="C5" s="18" t="n">
        <f aca="false">B5/$B$9</f>
        <v>0.66149702483331</v>
      </c>
    </row>
    <row r="6" customFormat="false" ht="15" hidden="false" customHeight="true" outlineLevel="0" collapsed="false">
      <c r="A6" s="5" t="s">
        <v>77</v>
      </c>
      <c r="B6" s="10" t="n">
        <f aca="false">'US Balance Sheet'!B29</f>
        <v>48700</v>
      </c>
      <c r="C6" s="18" t="n">
        <f aca="false">B6/$B$9</f>
        <v>0.297028736767888</v>
      </c>
    </row>
    <row r="7" customFormat="false" ht="15" hidden="false" customHeight="true" outlineLevel="0" collapsed="false">
      <c r="A7" s="5" t="s">
        <v>78</v>
      </c>
      <c r="B7" s="10" t="n">
        <f aca="false">'US Balance Sheet'!B30</f>
        <v>20600</v>
      </c>
      <c r="C7" s="18" t="n">
        <f aca="false">B7/$B$9</f>
        <v>0.125642545737546</v>
      </c>
    </row>
    <row r="8" customFormat="false" ht="15" hidden="false" customHeight="true" outlineLevel="0" collapsed="false">
      <c r="A8" s="5" t="s">
        <v>79</v>
      </c>
      <c r="B8" s="10" t="n">
        <f aca="false">'US Balance Sheet'!B31</f>
        <v>-13800</v>
      </c>
      <c r="C8" s="18" t="n">
        <f aca="false">B8/$B$9</f>
        <v>-0.0841683073387445</v>
      </c>
    </row>
    <row r="9" customFormat="false" ht="15" hidden="false" customHeight="true" outlineLevel="0" collapsed="false">
      <c r="A9" s="4" t="s">
        <v>117</v>
      </c>
      <c r="B9" s="12" t="n">
        <f aca="false">SUM(B5:B8)</f>
        <v>163957.2</v>
      </c>
      <c r="C9" s="27" t="n">
        <f aca="false">B9/$B$9</f>
        <v>1</v>
      </c>
    </row>
    <row r="11" customFormat="false" ht="15" hidden="false" customHeight="true" outlineLevel="0" collapsed="false">
      <c r="A11" s="4" t="s">
        <v>204</v>
      </c>
    </row>
    <row r="12" customFormat="false" ht="15" hidden="false" customHeight="true" outlineLevel="0" collapsed="false">
      <c r="A12" s="5" t="s">
        <v>82</v>
      </c>
      <c r="B12" s="10" t="n">
        <f aca="false">'US Balance Sheet'!B36</f>
        <v>166680.6</v>
      </c>
    </row>
    <row r="13" customFormat="false" ht="15" hidden="false" customHeight="true" outlineLevel="0" collapsed="false">
      <c r="A13" s="5" t="s">
        <v>83</v>
      </c>
      <c r="B13" s="10" t="n">
        <f aca="false">B9-B12</f>
        <v>-2723.39999999999</v>
      </c>
    </row>
    <row r="14" customFormat="false" ht="15" hidden="false" customHeight="true" outlineLevel="0" collapsed="false">
      <c r="A14" s="5" t="s">
        <v>205</v>
      </c>
      <c r="B14" s="18" t="n">
        <f aca="false">B13/B12</f>
        <v>-0.0163390340567528</v>
      </c>
    </row>
    <row r="15" customFormat="false" ht="15" hidden="false" customHeight="true" outlineLevel="0" collapsed="false">
      <c r="A15" s="5" t="s">
        <v>206</v>
      </c>
      <c r="B15" s="6" t="n">
        <v>24972.4</v>
      </c>
    </row>
    <row r="16" customFormat="false" ht="15" hidden="false" customHeight="true" outlineLevel="0" collapsed="false">
      <c r="A16" s="3" t="s">
        <v>207</v>
      </c>
    </row>
    <row r="18" customFormat="false" ht="15" hidden="false" customHeight="true" outlineLevel="0" collapsed="false">
      <c r="A18" s="4" t="s">
        <v>208</v>
      </c>
    </row>
    <row r="19" customFormat="false" ht="15" hidden="false" customHeight="true" outlineLevel="0" collapsed="false">
      <c r="A19" s="5" t="s">
        <v>209</v>
      </c>
      <c r="B19" s="10" t="n">
        <f aca="false">'Debt Comparisons'!B5</f>
        <v>31681.308</v>
      </c>
    </row>
    <row r="20" customFormat="false" ht="15" hidden="false" customHeight="true" outlineLevel="0" collapsed="false">
      <c r="A20" s="5" t="s">
        <v>210</v>
      </c>
      <c r="B20" s="10" t="n">
        <f aca="false">'Debt Comparisons'!B6</f>
        <v>7781.09</v>
      </c>
    </row>
    <row r="21" customFormat="false" ht="15" hidden="false" customHeight="true" outlineLevel="0" collapsed="false">
      <c r="A21" s="4" t="s">
        <v>114</v>
      </c>
      <c r="B21" s="12" t="n">
        <f aca="false">B19+B20</f>
        <v>39462.398</v>
      </c>
    </row>
    <row r="22" customFormat="false" ht="15" hidden="false" customHeight="true" outlineLevel="0" collapsed="false">
      <c r="A22" s="4" t="s">
        <v>211</v>
      </c>
      <c r="B22" s="27" t="n">
        <f aca="false">B21/B12</f>
        <v>0.236754595315832</v>
      </c>
    </row>
    <row r="23" customFormat="false" ht="15" hidden="false" customHeight="true" outlineLevel="0" collapsed="false">
      <c r="A23" s="5" t="s">
        <v>212</v>
      </c>
      <c r="B23" s="18" t="n">
        <f aca="false">B21/'US Balance Sheet'!B50</f>
        <v>0.215665206943495</v>
      </c>
    </row>
    <row r="24" customFormat="false" ht="15" hidden="false" customHeight="true" outlineLevel="0" collapsed="false">
      <c r="A24" s="5" t="s">
        <v>213</v>
      </c>
      <c r="B24" s="10" t="n">
        <f aca="false">'US Balance Sheet'!B50</f>
        <v>182979.9</v>
      </c>
    </row>
    <row r="26" customFormat="false" ht="15" hidden="false" customHeight="true" outlineLevel="0" collapsed="false">
      <c r="A26" s="4" t="s">
        <v>181</v>
      </c>
    </row>
    <row r="27" customFormat="false" ht="15" hidden="false" customHeight="true" outlineLevel="0" collapsed="false">
      <c r="A27" s="5" t="s">
        <v>214</v>
      </c>
      <c r="B27" s="28" t="n">
        <f aca="false">B9-'US Balance Sheet'!B42</f>
        <v>0</v>
      </c>
    </row>
    <row r="28" customFormat="false" ht="15" hidden="false" customHeight="true" outlineLevel="0" collapsed="false">
      <c r="A28" s="5" t="s">
        <v>215</v>
      </c>
      <c r="B28" s="28" t="n">
        <f aca="false">B21-'Debt Comparisons'!B7</f>
        <v>0</v>
      </c>
    </row>
    <row r="29" customFormat="false" ht="15" hidden="false" customHeight="true" outlineLevel="0" collapsed="false">
      <c r="A29" s="5" t="s">
        <v>216</v>
      </c>
      <c r="B29" s="30" t="n">
        <f aca="false">B22-'Debt Comparisons'!B19</f>
        <v>0</v>
      </c>
    </row>
    <row r="30" customFormat="false" ht="15" hidden="false" customHeight="true" outlineLevel="0" collapsed="false">
      <c r="A30" s="5" t="s">
        <v>217</v>
      </c>
      <c r="B30" s="30" t="n">
        <f aca="false">B23-'Debt Comparisons'!B21</f>
        <v>0</v>
      </c>
    </row>
    <row r="32" customFormat="false" ht="15" hidden="false" customHeight="true" outlineLevel="0" collapsed="false">
      <c r="A32" s="4" t="s">
        <v>218</v>
      </c>
    </row>
    <row r="33" customFormat="false" ht="15" hidden="false" customHeight="true" outlineLevel="0" collapsed="false">
      <c r="A33" s="5" t="s">
        <v>92</v>
      </c>
      <c r="B33" s="10" t="n">
        <f aca="false">'US Balance Sheet'!B47</f>
        <v>64800</v>
      </c>
    </row>
    <row r="34" customFormat="false" ht="15" hidden="false" customHeight="true" outlineLevel="0" collapsed="false">
      <c r="A34" s="5" t="s">
        <v>93</v>
      </c>
      <c r="B34" s="10" t="n">
        <f aca="false">'US Balance Sheet'!B48</f>
        <v>16600</v>
      </c>
    </row>
    <row r="35" customFormat="false" ht="15" hidden="false" customHeight="true" outlineLevel="0" collapsed="false">
      <c r="A35" s="5" t="s">
        <v>94</v>
      </c>
      <c r="B35" s="10" t="n">
        <f aca="false">'US Balance Sheet'!B49</f>
        <v>12200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88"/>
    <col collapsed="false" customWidth="true" hidden="false" outlineLevel="0" max="2" min="2" style="1" width="16"/>
  </cols>
  <sheetData>
    <row r="1" customFormat="false" ht="15.75" hidden="false" customHeight="true" outlineLevel="0" collapsed="false">
      <c r="A1" s="26" t="s">
        <v>219</v>
      </c>
    </row>
    <row r="2" customFormat="false" ht="15" hidden="false" customHeight="true" outlineLevel="0" collapsed="false">
      <c r="A2" s="3" t="s">
        <v>220</v>
      </c>
    </row>
    <row r="4" customFormat="false" ht="15" hidden="false" customHeight="true" outlineLevel="0" collapsed="false">
      <c r="A4" s="5" t="s">
        <v>221</v>
      </c>
      <c r="B4" s="13" t="n">
        <v>17885.075</v>
      </c>
    </row>
    <row r="5" customFormat="false" ht="15" hidden="false" customHeight="true" outlineLevel="0" collapsed="false">
      <c r="A5" s="5" t="s">
        <v>222</v>
      </c>
      <c r="B5" s="13" t="n">
        <v>-9891.479</v>
      </c>
    </row>
    <row r="6" customFormat="false" ht="15" hidden="false" customHeight="true" outlineLevel="0" collapsed="false">
      <c r="A6" s="5" t="s">
        <v>223</v>
      </c>
      <c r="B6" s="22" t="n">
        <v>-1412.928</v>
      </c>
    </row>
    <row r="7" customFormat="false" ht="15" hidden="false" customHeight="true" outlineLevel="0" collapsed="false">
      <c r="A7" s="4" t="s">
        <v>224</v>
      </c>
      <c r="B7" s="12" t="n">
        <f aca="false">SUM(B4:B6)</f>
        <v>6580.668</v>
      </c>
    </row>
    <row r="8" customFormat="false" ht="15" hidden="false" customHeight="true" outlineLevel="0" collapsed="false">
      <c r="A8" s="5" t="s">
        <v>225</v>
      </c>
      <c r="B8" s="22" t="n">
        <v>-2742.753</v>
      </c>
    </row>
    <row r="9" customFormat="false" ht="15" hidden="false" customHeight="true" outlineLevel="0" collapsed="false">
      <c r="A9" s="4" t="s">
        <v>226</v>
      </c>
      <c r="B9" s="12" t="n">
        <f aca="false">B7+B8</f>
        <v>3837.915</v>
      </c>
    </row>
    <row r="10" customFormat="false" ht="15" hidden="false" customHeight="true" outlineLevel="0" collapsed="false">
      <c r="A10" s="5" t="s">
        <v>227</v>
      </c>
      <c r="B10" s="13" t="n">
        <v>3837.914</v>
      </c>
    </row>
    <row r="11" customFormat="false" ht="15" hidden="false" customHeight="true" outlineLevel="0" collapsed="false">
      <c r="A11" s="5" t="s">
        <v>228</v>
      </c>
      <c r="B11" s="13" t="n">
        <v>-43.823</v>
      </c>
    </row>
    <row r="12" customFormat="false" ht="15" hidden="false" customHeight="true" outlineLevel="0" collapsed="false">
      <c r="A12" s="5" t="s">
        <v>229</v>
      </c>
      <c r="B12" s="22" t="n">
        <v>-243.206</v>
      </c>
    </row>
    <row r="13" customFormat="false" ht="15" hidden="false" customHeight="true" outlineLevel="0" collapsed="false">
      <c r="A13" s="4" t="s">
        <v>230</v>
      </c>
      <c r="B13" s="12" t="n">
        <f aca="false">B9+B11+B12</f>
        <v>3550.886</v>
      </c>
    </row>
    <row r="14" customFormat="false" ht="15" hidden="false" customHeight="true" outlineLevel="0" collapsed="false">
      <c r="A14" s="5" t="s">
        <v>231</v>
      </c>
      <c r="B14" s="13" t="n">
        <v>-695.171</v>
      </c>
    </row>
    <row r="15" customFormat="false" ht="15" hidden="false" customHeight="true" outlineLevel="0" collapsed="false">
      <c r="A15" s="4" t="s">
        <v>232</v>
      </c>
      <c r="B15" s="12" t="n">
        <f aca="false">B13+B14</f>
        <v>2855.715</v>
      </c>
    </row>
    <row r="17" customFormat="false" ht="15" hidden="false" customHeight="true" outlineLevel="0" collapsed="false">
      <c r="A17" s="4" t="s">
        <v>233</v>
      </c>
    </row>
    <row r="18" customFormat="false" ht="15" hidden="false" customHeight="true" outlineLevel="0" collapsed="false">
      <c r="A18" s="5" t="s">
        <v>234</v>
      </c>
      <c r="B18" s="13" t="n">
        <v>14453.8</v>
      </c>
    </row>
    <row r="19" customFormat="false" ht="15" hidden="false" customHeight="true" outlineLevel="0" collapsed="false">
      <c r="A19" s="4" t="s">
        <v>235</v>
      </c>
      <c r="B19" s="17" t="n">
        <f aca="false">B18/B7</f>
        <v>2.19640316150275</v>
      </c>
    </row>
    <row r="20" customFormat="false" ht="15" hidden="false" customHeight="true" outlineLevel="0" collapsed="false">
      <c r="A20" s="5" t="s">
        <v>236</v>
      </c>
      <c r="B20" s="25" t="n">
        <f aca="false">B18/B4</f>
        <v>0.808148693813137</v>
      </c>
    </row>
    <row r="21" customFormat="false" ht="15" hidden="false" customHeight="true" outlineLevel="0" collapsed="false">
      <c r="A21" s="4" t="s">
        <v>237</v>
      </c>
      <c r="B21" s="31" t="n">
        <f aca="false">B7/-B11</f>
        <v>150.16470803003</v>
      </c>
    </row>
    <row r="23" customFormat="false" ht="15" hidden="false" customHeight="true" outlineLevel="0" collapsed="false">
      <c r="A23" s="3" t="s">
        <v>238</v>
      </c>
    </row>
    <row r="25" customFormat="false" ht="15" hidden="false" customHeight="true" outlineLevel="0" collapsed="false">
      <c r="A25" s="3" t="s">
        <v>239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1" width="70"/>
    <col collapsed="false" customWidth="true" hidden="false" outlineLevel="0" max="2" min="2" style="1" width="16"/>
    <col collapsed="false" customWidth="true" hidden="false" outlineLevel="0" max="3" min="3" style="1" width="14"/>
  </cols>
  <sheetData>
    <row r="1" customFormat="false" ht="15.75" hidden="false" customHeight="true" outlineLevel="0" collapsed="false">
      <c r="A1" s="2" t="s">
        <v>240</v>
      </c>
    </row>
    <row r="2" customFormat="false" ht="15" hidden="false" customHeight="true" outlineLevel="0" collapsed="false">
      <c r="A2" s="3" t="s">
        <v>241</v>
      </c>
    </row>
    <row r="4" customFormat="false" ht="15" hidden="false" customHeight="true" outlineLevel="0" collapsed="false">
      <c r="A4" s="4" t="s">
        <v>242</v>
      </c>
      <c r="B4" s="13" t="n">
        <v>5234.616</v>
      </c>
    </row>
    <row r="6" customFormat="false" ht="15" hidden="false" customHeight="true" outlineLevel="0" collapsed="false">
      <c r="A6" s="4" t="s">
        <v>243</v>
      </c>
      <c r="C6" s="24" t="s">
        <v>244</v>
      </c>
    </row>
    <row r="7" customFormat="false" ht="15" hidden="false" customHeight="true" outlineLevel="0" collapsed="false">
      <c r="A7" s="5" t="s">
        <v>245</v>
      </c>
      <c r="B7" s="13" t="n">
        <v>1580.686</v>
      </c>
      <c r="C7" s="18" t="n">
        <f aca="false">B7/$B$4</f>
        <v>0.301967899842128</v>
      </c>
    </row>
    <row r="8" customFormat="false" ht="15" hidden="false" customHeight="true" outlineLevel="0" collapsed="false">
      <c r="A8" s="5" t="s">
        <v>246</v>
      </c>
      <c r="B8" s="13" t="n">
        <v>996.719</v>
      </c>
      <c r="C8" s="18" t="n">
        <f aca="false">B8/$B$4</f>
        <v>0.19040919142875</v>
      </c>
    </row>
    <row r="9" customFormat="false" ht="15" hidden="false" customHeight="true" outlineLevel="0" collapsed="false">
      <c r="A9" s="5" t="s">
        <v>247</v>
      </c>
      <c r="B9" s="13" t="n">
        <v>978.877</v>
      </c>
      <c r="C9" s="18" t="n">
        <f aca="false">B9/$B$4</f>
        <v>0.187000727465014</v>
      </c>
    </row>
    <row r="10" customFormat="false" ht="15" hidden="false" customHeight="true" outlineLevel="0" collapsed="false">
      <c r="A10" s="5" t="s">
        <v>248</v>
      </c>
      <c r="B10" s="13" t="n">
        <v>916.649</v>
      </c>
      <c r="C10" s="18" t="n">
        <f aca="false">B10/$B$4</f>
        <v>0.17511294047166</v>
      </c>
    </row>
    <row r="11" customFormat="false" ht="15" hidden="false" customHeight="true" outlineLevel="0" collapsed="false">
      <c r="A11" s="5" t="s">
        <v>249</v>
      </c>
      <c r="B11" s="13" t="n">
        <v>701.584</v>
      </c>
      <c r="C11" s="18" t="n">
        <f aca="false">B11/$B$4</f>
        <v>0.134027787329577</v>
      </c>
    </row>
    <row r="12" customFormat="false" ht="15" hidden="false" customHeight="true" outlineLevel="0" collapsed="false">
      <c r="A12" s="5" t="s">
        <v>250</v>
      </c>
      <c r="B12" s="13" t="n">
        <v>377.162</v>
      </c>
      <c r="C12" s="18" t="n">
        <f aca="false">B12/$B$4</f>
        <v>0.0720515124700647</v>
      </c>
    </row>
    <row r="13" customFormat="false" ht="15" hidden="false" customHeight="true" outlineLevel="0" collapsed="false">
      <c r="A13" s="5" t="s">
        <v>251</v>
      </c>
      <c r="B13" s="10" t="n">
        <f aca="false">B15-B16-SUM(B7:B12)</f>
        <v>487.938</v>
      </c>
      <c r="C13" s="18" t="n">
        <f aca="false">B13/$B$4</f>
        <v>0.0932137142437956</v>
      </c>
    </row>
    <row r="14" customFormat="false" ht="15" hidden="false" customHeight="true" outlineLevel="0" collapsed="false">
      <c r="A14" s="4" t="s">
        <v>252</v>
      </c>
      <c r="B14" s="12" t="n">
        <f aca="false">B15-B16</f>
        <v>6039.615</v>
      </c>
    </row>
    <row r="15" customFormat="false" ht="15" hidden="false" customHeight="true" outlineLevel="0" collapsed="false">
      <c r="A15" s="5" t="s">
        <v>253</v>
      </c>
      <c r="B15" s="13" t="n">
        <v>7009.974</v>
      </c>
    </row>
    <row r="16" customFormat="false" ht="15" hidden="false" customHeight="true" outlineLevel="0" collapsed="false">
      <c r="A16" s="5" t="s">
        <v>254</v>
      </c>
      <c r="B16" s="13" t="n">
        <v>970.359</v>
      </c>
    </row>
    <row r="18" customFormat="false" ht="15" hidden="false" customHeight="true" outlineLevel="0" collapsed="false">
      <c r="A18" s="4" t="s">
        <v>255</v>
      </c>
      <c r="B18" s="12" t="n">
        <f aca="false">B4-B14</f>
        <v>-804.999</v>
      </c>
    </row>
    <row r="19" customFormat="false" ht="15" hidden="false" customHeight="true" outlineLevel="0" collapsed="false">
      <c r="A19" s="5" t="s">
        <v>256</v>
      </c>
      <c r="B19" s="10" t="n">
        <f aca="false">-B16</f>
        <v>-970.359</v>
      </c>
    </row>
    <row r="20" customFormat="false" ht="15" hidden="false" customHeight="true" outlineLevel="0" collapsed="false">
      <c r="A20" s="4" t="s">
        <v>257</v>
      </c>
      <c r="B20" s="12" t="n">
        <f aca="false">B18+B19</f>
        <v>-1775.358</v>
      </c>
    </row>
    <row r="22" customFormat="false" ht="15" hidden="false" customHeight="true" outlineLevel="0" collapsed="false">
      <c r="A22" s="4" t="s">
        <v>258</v>
      </c>
    </row>
    <row r="23" customFormat="false" ht="15" hidden="false" customHeight="true" outlineLevel="0" collapsed="false">
      <c r="A23" s="5" t="s">
        <v>259</v>
      </c>
      <c r="B23" s="18" t="n">
        <f aca="false">B18/B4</f>
        <v>-0.153783773250989</v>
      </c>
    </row>
    <row r="24" customFormat="false" ht="15" hidden="false" customHeight="true" outlineLevel="0" collapsed="false">
      <c r="A24" s="5" t="s">
        <v>260</v>
      </c>
      <c r="B24" s="18" t="n">
        <f aca="false">B20/B4</f>
        <v>-0.339157256234268</v>
      </c>
    </row>
    <row r="25" customFormat="false" ht="15" hidden="false" customHeight="true" outlineLevel="0" collapsed="false">
      <c r="A25" s="5" t="s">
        <v>261</v>
      </c>
      <c r="B25" s="18" t="n">
        <f aca="false">B16/B4</f>
        <v>0.185373482983279</v>
      </c>
    </row>
    <row r="26" customFormat="false" ht="15" hidden="false" customHeight="true" outlineLevel="0" collapsed="false">
      <c r="A26" s="5" t="s">
        <v>262</v>
      </c>
      <c r="B26" s="18" t="n">
        <f aca="false">SUM(B7:B9)/B4</f>
        <v>0.679377818735892</v>
      </c>
    </row>
    <row r="28" customFormat="false" ht="15" hidden="false" customHeight="true" outlineLevel="0" collapsed="false">
      <c r="A28" s="3" t="s">
        <v>263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2026-07-16T20:08:53Z</dcterms:created>
  <dc:creator>openpyxl</dc:creator>
  <dc:description/>
  <dc:language>en-US</dc:language>
  <cp:lastModifiedBy/>
  <dcterms:modified xsi:type="dcterms:W3CDTF">2026-07-30T23:04:57Z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