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3.xml.rels" ContentType="application/vnd.openxmlformats-package.relationships+xml"/>
  <Override PartName="/xl/worksheets/_rels/sheet7.xml.rels" ContentType="application/vnd.openxmlformats-package.relationships+xml"/>
  <Override PartName="/xl/worksheets/_rels/sheet9.xml.rels" ContentType="application/vnd.openxmlformats-package.relationships+xml"/>
  <Override PartName="/xl/worksheets/_rels/sheet5.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12.xml" ContentType="application/vnd.openxmlformats-officedocument.spreadsheetml.worksheet+xml"/>
  <Override PartName="/xl/worksheets/sheet7.xml" ContentType="application/vnd.openxmlformats-officedocument.spreadsheetml.worksheet+xml"/>
  <Override PartName="/xl/worksheets/sheet13.xml" ContentType="application/vnd.openxmlformats-officedocument.spreadsheetml.worksheet+xml"/>
  <Override PartName="/xl/worksheets/sheet8.xml" ContentType="application/vnd.openxmlformats-officedocument.spreadsheetml.worksheet+xml"/>
  <Override PartName="/xl/worksheets/sheet14.xml" ContentType="application/vnd.openxmlformats-officedocument.spreadsheetml.worksheet+xml"/>
  <Override PartName="/xl/worksheets/sheet9.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_rels/drawing4.xml.rels" ContentType="application/vnd.openxmlformats-package.relationships+xml"/>
  <Override PartName="/xl/drawings/_rels/drawing3.xml.rels" ContentType="application/vnd.openxmlformats-package.relationships+xml"/>
  <Override PartName="/xl/drawings/_rels/drawing2.xml.rels" ContentType="application/vnd.openxmlformats-package.relationships+xml"/>
  <Override PartName="/xl/drawings/_rels/drawing1.xml.rels" ContentType="application/vnd.openxmlformats-package.relationships+xml"/>
  <Override PartName="/xl/drawings/drawing3.xml" ContentType="application/vnd.openxmlformats-officedocument.drawing+xml"/>
  <Override PartName="/xl/drawings/drawing4.xml" ContentType="application/vnd.openxmlformats-officedocument.drawing+xml"/>
  <Override PartName="/xl/charts/chart29.xml" ContentType="application/vnd.openxmlformats-officedocument.drawingml.chart+xml"/>
  <Override PartName="/xl/charts/chart28.xml" ContentType="application/vnd.openxmlformats-officedocument.drawingml.chart+xml"/>
  <Override PartName="/xl/charts/chart27.xml" ContentType="application/vnd.openxmlformats-officedocument.drawingml.chart+xml"/>
  <Override PartName="/xl/charts/chart26.xml" ContentType="application/vnd.openxmlformats-officedocument.drawingml.chart+xml"/>
  <Override PartName="/xl/charts/chart25.xml" ContentType="application/vnd.openxmlformats-officedocument.drawingml.chart+xml"/>
  <Override PartName="/xl/charts/chart24.xml" ContentType="application/vnd.openxmlformats-officedocument.drawingml.chart+xml"/>
  <Override PartName="/xl/charts/chart23.xml" ContentType="application/vnd.openxmlformats-officedocument.drawingml.chart+xml"/>
  <Override PartName="/xl/charts/chart22.xml" ContentType="application/vnd.openxmlformats-officedocument.drawingml.chart+xml"/>
  <Override PartName="/xl/charts/chart21.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18.xml" ContentType="application/vnd.openxmlformats-officedocument.drawingml.chart+xml"/>
  <Override PartName="/xl/charts/chart17.xml" ContentType="application/vnd.openxmlformats-officedocument.drawingml.chart+xml"/>
  <Override PartName="/xl/charts/chart16.xml" ContentType="application/vnd.openxmlformats-officedocument.drawingml.chart+xml"/>
  <Override PartName="/xl/charts/chart15.xml" ContentType="application/vnd.openxmlformats-officedocument.drawingml.chart+xml"/>
  <Override PartName="/xl/charts/chart14.xml" ContentType="application/vnd.openxmlformats-officedocument.drawingml.chart+xml"/>
  <Override PartName="/xl/charts/chart1.xml" ContentType="application/vnd.openxmlformats-officedocument.drawingml.chart+xml"/>
  <Override PartName="/xl/charts/chart35.xml" ContentType="application/vnd.openxmlformats-officedocument.drawingml.chart+xml"/>
  <Override PartName="/xl/charts/chart2.xml" ContentType="application/vnd.openxmlformats-officedocument.drawingml.chart+xml"/>
  <Override PartName="/xl/charts/chart36.xml" ContentType="application/vnd.openxmlformats-officedocument.drawingml.chart+xml"/>
  <Override PartName="/xl/charts/chart3.xml" ContentType="application/vnd.openxmlformats-officedocument.drawingml.chart+xml"/>
  <Override PartName="/xl/charts/chart37.xml" ContentType="application/vnd.openxmlformats-officedocument.drawingml.chart+xml"/>
  <Override PartName="/xl/charts/chart41.xml" ContentType="application/vnd.openxmlformats-officedocument.drawingml.chart+xml"/>
  <Override PartName="/xl/charts/chart7.xml" ContentType="application/vnd.openxmlformats-officedocument.drawingml.chart+xml"/>
  <Override PartName="/xl/charts/chart42.xml" ContentType="application/vnd.openxmlformats-officedocument.drawingml.chart+xml"/>
  <Override PartName="/xl/charts/chart8.xml" ContentType="application/vnd.openxmlformats-officedocument.drawingml.chart+xml"/>
  <Override PartName="/xl/charts/chart43.xml" ContentType="application/vnd.openxmlformats-officedocument.drawingml.chart+xml"/>
  <Override PartName="/xl/charts/chart9.xml" ContentType="application/vnd.openxmlformats-officedocument.drawingml.chart+xml"/>
  <Override PartName="/xl/charts/chart32.xml" ContentType="application/vnd.openxmlformats-officedocument.drawingml.chart+xml"/>
  <Override PartName="/xl/charts/chart44.xml" ContentType="application/vnd.openxmlformats-officedocument.drawingml.chart+xml"/>
  <Override PartName="/xl/charts/chart33.xml" ContentType="application/vnd.openxmlformats-officedocument.drawingml.chart+xml"/>
  <Override PartName="/xl/charts/chart45.xml" ContentType="application/vnd.openxmlformats-officedocument.drawingml.chart+xml"/>
  <Override PartName="/xl/charts/chart34.xml" ContentType="application/vnd.openxmlformats-officedocument.drawingml.chart+xml"/>
  <Override PartName="/xl/charts/chart46.xml" ContentType="application/vnd.openxmlformats-officedocument.drawingml.chart+xml"/>
  <Override PartName="/xl/charts/chart50.xml" ContentType="application/vnd.openxmlformats-officedocument.drawingml.chart+xml"/>
  <Override PartName="/xl/charts/chart13.xml" ContentType="application/vnd.openxmlformats-officedocument.drawingml.chart+xml"/>
  <Override PartName="/xl/charts/chart11.xml" ContentType="application/vnd.openxmlformats-officedocument.drawingml.chart+xml"/>
  <Override PartName="/xl/charts/chart48.xml" ContentType="application/vnd.openxmlformats-officedocument.drawingml.chart+xml"/>
  <Override PartName="/xl/charts/chart51.xml" ContentType="application/vnd.openxmlformats-officedocument.drawingml.chart+xml"/>
  <Override PartName="/xl/charts/chart40.xml" ContentType="application/vnd.openxmlformats-officedocument.drawingml.chart+xml"/>
  <Override PartName="/xl/charts/chart6.xml" ContentType="application/vnd.openxmlformats-officedocument.drawingml.chart+xml"/>
  <Override PartName="/xl/charts/chart4.xml" ContentType="application/vnd.openxmlformats-officedocument.drawingml.chart+xml"/>
  <Override PartName="/xl/charts/chart38.xml" ContentType="application/vnd.openxmlformats-officedocument.drawingml.chart+xml"/>
  <Override PartName="/xl/charts/chart52.xml" ContentType="application/vnd.openxmlformats-officedocument.drawingml.chart+xml"/>
  <Override PartName="/xl/charts/chart31.xml" ContentType="application/vnd.openxmlformats-officedocument.drawingml.chart+xml"/>
  <Override PartName="/xl/charts/chart30.xml" ContentType="application/vnd.openxmlformats-officedocument.drawingml.chart+xml"/>
  <Override PartName="/xl/charts/chart49.xml" ContentType="application/vnd.openxmlformats-officedocument.drawingml.chart+xml"/>
  <Override PartName="/xl/charts/chart12.xml" ContentType="application/vnd.openxmlformats-officedocument.drawingml.chart+xml"/>
  <Override PartName="/xl/charts/chart10.xml" ContentType="application/vnd.openxmlformats-officedocument.drawingml.chart+xml"/>
  <Override PartName="/xl/charts/chart47.xml" ContentType="application/vnd.openxmlformats-officedocument.drawingml.chart+xml"/>
  <Override PartName="/xl/charts/chart39.xml" ContentType="application/vnd.openxmlformats-officedocument.drawingml.chart+xml"/>
  <Override PartName="/xl/charts/chart5.xml" ContentType="application/vnd.openxmlformats-officedocument.drawingml.chart+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ources" sheetId="1" state="visible" r:id="rId3"/>
    <sheet name="AVB" sheetId="2" state="visible" r:id="rId4"/>
    <sheet name="AVB vs Market" sheetId="3" state="visible" r:id="rId5"/>
    <sheet name="MAA" sheetId="4" state="visible" r:id="rId6"/>
    <sheet name="MAA vs Market" sheetId="5" state="visible" r:id="rId7"/>
    <sheet name="CPT" sheetId="6" state="visible" r:id="rId8"/>
    <sheet name="CPT vs Market" sheetId="7" state="visible" r:id="rId9"/>
    <sheet name="Composite" sheetId="8" state="visible" r:id="rId10"/>
    <sheet name="Composite vs Market" sheetId="9" state="visible" r:id="rId11"/>
    <sheet name="Costar - US Multifamily" sheetId="10" state="visible" r:id="rId12"/>
    <sheet name="Green Street National" sheetId="11" state="visible" r:id="rId13"/>
    <sheet name="Inflation" sheetId="12" state="visible" r:id="rId14"/>
    <sheet name="10 YR UST" sheetId="13" state="visible" r:id="rId15"/>
    <sheet name="Prime Rate" sheetId="14" state="visible" r:id="rId16"/>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<sst xmlns="http://schemas.openxmlformats.org/spreadsheetml/2006/main" count="3389" uniqueCount="786">
  <si>
    <t xml:space="preserve">Tab</t>
  </si>
  <si>
    <t xml:space="preserve">Series / Metric</t>
  </si>
  <si>
    <t xml:space="preserve">Source Organization</t>
  </si>
  <si>
    <t xml:space="preserve">Source Type</t>
  </si>
  <si>
    <t xml:space="preserve">Source Location</t>
  </si>
  <si>
    <t xml:space="preserve">Update Cadence</t>
  </si>
  <si>
    <t xml:space="preserve">Last Verified</t>
  </si>
  <si>
    <t xml:space="preserve">Decisions</t>
  </si>
  <si>
    <t xml:space="preserve">CRE42 Multifamily REIT Composite: decision trail (see also per-tab Mapping and Open Items blocks)</t>
  </si>
  <si>
    <t xml:space="preserve">CRE42</t>
  </si>
  <si>
    <t xml:space="preserve">Internal</t>
  </si>
  <si>
    <t xml:space="preserve">Recorded at build</t>
  </si>
  <si>
    <t xml:space="preserve">-</t>
  </si>
  <si>
    <t xml:space="preserve">2026-07-23</t>
  </si>
  <si>
    <t xml:space="preserve">Composite roster: AVB / MAA / CPT, stabilized-TEV-weighted (identical method to industrial/office composites). Chip decision 2026-07-23 (Option A carried despite AVB/EQR merger).</t>
  </si>
  <si>
    <t xml:space="preserve">AVB/EQR merger (announced 2026-05-21, all-stock merger of equals, ~$69B EV, expected close H2 2026) is a KNOWN TERMINAL EVENT for this composite: AVB ceases separate filing after close. Composite to be rebuilt with a new lineup afterward; do not promise a refresh path in update.md.</t>
  </si>
  <si>
    <t xml:space="preserve">AFFO change vs industrial/office: multifamily has no TI/LC. U carries each company's own RECURRING CAPEX disclosure (direct input); S/T are n/a; V = R - U unchanged. Definitions differ by company and are documented per tab; renovation/revenue-enhancing spend excluded where the company separates it. Chip decision 2026-07-23.</t>
  </si>
  <si>
    <t xml:space="preserve">WALT (AF/AG) OMITTED for multifamily (one-year leases; no lease-expiration schedule analog). Chip decision 2026-07-23.</t>
  </si>
  <si>
    <t xml:space="preserve">AD = effective blended lease rate growth (new + renewal), 4Q date-effective basis where no full-year figure is published (HIW Q4-quarter precedent). AE = company's own occupancy measure, full-year same-property weighted average, basis noted per company (physical for CPT/MAA; AVB uses economic occupancy - flag when built). Chip decision 2026-07-23.</t>
  </si>
  <si>
    <t xml:space="preserve">CPT</t>
  </si>
  <si>
    <t xml:space="preserve">Annual NOI (Total Property Net Operating Income, 12-mo, consolidated)</t>
  </si>
  <si>
    <t xml:space="preserve">Camden Property Trust</t>
  </si>
  <si>
    <t xml:space="preserve">Primary (company filings)</t>
  </si>
  <si>
    <t xml:space="preserve">4Q25 Supplement p.11, Components of Property Net Operating Income</t>
  </si>
  <si>
    <t xml:space="preserve">Annual</t>
  </si>
  <si>
    <t xml:space="preserve">Annual Interest Paid (income statement 'Interest', net of capitalized)</t>
  </si>
  <si>
    <t xml:space="preserve">4Q25 Supplement p.7, Operating Results, Other expenses</t>
  </si>
  <si>
    <t xml:space="preserve">Year-End Share Price</t>
  </si>
  <si>
    <t xml:space="preserve">4Q25 Supplement p.6, Financial Highlights, 'Share price, end of period'</t>
  </si>
  <si>
    <t xml:space="preserve">Shares Outstanding EOY (common and common equivalent, incl. OP-unit equivalents)</t>
  </si>
  <si>
    <t xml:space="preserve">4Q25 Supplement p.6, Financial Highlights</t>
  </si>
  <si>
    <t xml:space="preserve">Published Market Equity Value EOY (tie-out)</t>
  </si>
  <si>
    <t xml:space="preserve">Land Value (operating real estate, at cost)</t>
  </si>
  <si>
    <t xml:space="preserve">4Q25 Supplement p.9, Balance Sheets, 'Land'</t>
  </si>
  <si>
    <t xml:space="preserve">Development ('Properties under development, including land')</t>
  </si>
  <si>
    <t xml:space="preserve">4Q25 Supplement p.9, Balance Sheets</t>
  </si>
  <si>
    <t xml:space="preserve">Unsecured Debt (Notes payable - Unsecured)</t>
  </si>
  <si>
    <t xml:space="preserve">Secured Debt (Notes payable - Secured)</t>
  </si>
  <si>
    <t xml:space="preserve">Published Total Debt (tie-out)</t>
  </si>
  <si>
    <t xml:space="preserve">Core FFO, 12-mo</t>
  </si>
  <si>
    <t xml:space="preserve">4Q25 Supplement p.8, Funds from Operations</t>
  </si>
  <si>
    <t xml:space="preserve">Recurring capitalized expenditures, 12-mo ('Less: recurring capitalized expenditures')</t>
  </si>
  <si>
    <t xml:space="preserve">4Q25 Supplement p.8, Funds from Operations reconciliation</t>
  </si>
  <si>
    <t xml:space="preserve">Published Core adjusted funds from operations, 12-mo (tie-out)</t>
  </si>
  <si>
    <t xml:space="preserve">CF Provided by Operating Activities</t>
  </si>
  <si>
    <t xml:space="preserve">FY2025 Form 10-K p.49, Consolidated Statements of Cash Flows</t>
  </si>
  <si>
    <t xml:space="preserve">Distributions Paid (to common shareholders and non-controlling interests)</t>
  </si>
  <si>
    <t xml:space="preserve">FY2025 Form 10-K p.49, cash flow statement, financing activities</t>
  </si>
  <si>
    <t xml:space="preserve">Same-Property Weighted Average Occupancy, full year (physical)</t>
  </si>
  <si>
    <t xml:space="preserve">4Q25 Supplement p.15, 'Same Property' Year to Date Comparisons, Total row</t>
  </si>
  <si>
    <t xml:space="preserve">Effective Blended Lease Rates, 4Q date-effective (New Lease and Renewal Data)</t>
  </si>
  <si>
    <t xml:space="preserve">4Q25 Supplement p.3, press release Operating Statistics</t>
  </si>
  <si>
    <t xml:space="preserve">4Q24 Supplement p.11, Components of Property Net Operating Income</t>
  </si>
  <si>
    <t xml:space="preserve">4Q24 Supplement p.7, Operating Results, Other expenses</t>
  </si>
  <si>
    <t xml:space="preserve">4Q24 Supplement p.6, Financial Highlights, 'Share price, end of period'</t>
  </si>
  <si>
    <t xml:space="preserve">4Q24 Supplement p.6, Financial Highlights</t>
  </si>
  <si>
    <t xml:space="preserve">4Q24 Supplement p.9, Balance Sheets, 'Land'</t>
  </si>
  <si>
    <t xml:space="preserve">4Q24 Supplement p.9, Balance Sheets</t>
  </si>
  <si>
    <t xml:space="preserve">4Q24 Supplement p.8, Funds from Operations</t>
  </si>
  <si>
    <t xml:space="preserve">4Q24 Supplement p.8, Funds from Operations reconciliation</t>
  </si>
  <si>
    <t xml:space="preserve">FY2024 Form 10-K p.52, Consolidated Statements of Cash Flows</t>
  </si>
  <si>
    <t xml:space="preserve">FY2024 Form 10-K p.52, cash flow statement, financing activities</t>
  </si>
  <si>
    <t xml:space="preserve">4Q24 Supplement p.15, 'Same Property' Year to Date Comparisons, Total row</t>
  </si>
  <si>
    <t xml:space="preserve">4Q24 Supplement p.3, press release Operating Statistics</t>
  </si>
  <si>
    <t xml:space="preserve">4Q23 Supplement p.11, Components of Property Net Operating Income</t>
  </si>
  <si>
    <t xml:space="preserve">4Q23 Supplement p.7, Operating Results, Other expenses</t>
  </si>
  <si>
    <t xml:space="preserve">4Q23 Supplement p.6, Financial Highlights, 'Share price, end of period'</t>
  </si>
  <si>
    <t xml:space="preserve">4Q23 Supplement p.6, Financial Highlights</t>
  </si>
  <si>
    <t xml:space="preserve">4Q23 Supplement p.9, Balance Sheets, 'Land'</t>
  </si>
  <si>
    <t xml:space="preserve">4Q23 Supplement p.9, Balance Sheets</t>
  </si>
  <si>
    <t xml:space="preserve">4Q23 Supplement p.8, Funds from Operations</t>
  </si>
  <si>
    <t xml:space="preserve">4Q23 Supplement p.8, Funds from Operations reconciliation</t>
  </si>
  <si>
    <t xml:space="preserve">FY2023 Form 10-K p.54, Consolidated Statements of Cash Flows</t>
  </si>
  <si>
    <t xml:space="preserve">FY2023 Form 10-K p.54, cash flow statement, financing activities</t>
  </si>
  <si>
    <t xml:space="preserve">4Q23 Supplement p.15, 'Same Property' Year to Date Comparisons, Total row</t>
  </si>
  <si>
    <t xml:space="preserve">4Q23 Supplement p.3, press release Operating Statistics</t>
  </si>
  <si>
    <t xml:space="preserve">4Q22 Supplement p.11, Components of Property Net Operating Income</t>
  </si>
  <si>
    <t xml:space="preserve">4Q22 Supplement p.7, Operating Results, Other expenses</t>
  </si>
  <si>
    <t xml:space="preserve">4Q22 Supplement p.6, Financial Highlights, 'Share price, end of period'</t>
  </si>
  <si>
    <t xml:space="preserve">4Q22 Supplement p.6, Financial Highlights</t>
  </si>
  <si>
    <t xml:space="preserve">4Q22 Supplement p.9, Balance Sheets, 'Land'</t>
  </si>
  <si>
    <t xml:space="preserve">4Q22 Supplement p.9, Balance Sheets</t>
  </si>
  <si>
    <t xml:space="preserve">FFO (no Core FFO label this vintage; Camden's AFFO = FFO less recurring capex), 12-mo</t>
  </si>
  <si>
    <t xml:space="preserve">4Q22 Supplement p.8, Funds from Operations</t>
  </si>
  <si>
    <t xml:space="preserve">Recurring capitalized expenditures, 12-mo ('Less: recurring capitalized expenditures'); FFO-page figure carried (standalone capex page shows 90,223, diff $492)</t>
  </si>
  <si>
    <t xml:space="preserve">4Q22 Supplement p.8, Funds from Operations reconciliation</t>
  </si>
  <si>
    <t xml:space="preserve">Published Adjusted funds from operations, 12-mo (tie-out)</t>
  </si>
  <si>
    <t xml:space="preserve">FY2022 Form 10-K p.53, Consolidated Statements of Cash Flows</t>
  </si>
  <si>
    <t xml:space="preserve">FY2022 Form 10-K p.53, cash flow statement, financing activities</t>
  </si>
  <si>
    <t xml:space="preserve">4Q22 Supplement p.15, 'Same Property' Year to Date Comparisons, Total row</t>
  </si>
  <si>
    <t xml:space="preserve">4Q22 Supplement p.3, press release Operating Statistics</t>
  </si>
  <si>
    <t xml:space="preserve">4Q21 Supplement (Ex-99.2) p.12, Components of Property Net Operating Income</t>
  </si>
  <si>
    <t xml:space="preserve">4Q21 Supplement (Ex-99.2) p.8, Operating Results, Other expenses</t>
  </si>
  <si>
    <t xml:space="preserve">4Q21 Supplement (Ex-99.2) p.7, Financial Highlights, 'Share price, end of period'</t>
  </si>
  <si>
    <t xml:space="preserve">4Q21 Supplement (Ex-99.2) p.7, Financial Highlights</t>
  </si>
  <si>
    <t xml:space="preserve">4Q21 Supplement (Ex-99.2) p.10, Balance Sheets, 'Land'</t>
  </si>
  <si>
    <t xml:space="preserve">4Q21 Supplement (Ex-99.2) p.10, Balance Sheets</t>
  </si>
  <si>
    <t xml:space="preserve">Secured Debt (Notes payable - Secured); zero, no secured line printed (Debt Analysis page confirms $0)</t>
  </si>
  <si>
    <t xml:space="preserve">4Q21 Supplement (Ex-99.2) p.9, Funds from Operations</t>
  </si>
  <si>
    <t xml:space="preserve">4Q21 Supplement (Ex-99.2) p.9, Funds from Operations reconciliation</t>
  </si>
  <si>
    <t xml:space="preserve">FY2021 Form 10-K p.53, Consolidated Statements of Cash Flows</t>
  </si>
  <si>
    <t xml:space="preserve">FY2021 Form 10-K p.53, cash flow statement, financing activities</t>
  </si>
  <si>
    <t xml:space="preserve">4Q21 Supplement (Ex-99.2) p.15, 'Same Property' Year to Date Comparisons, Total row</t>
  </si>
  <si>
    <t xml:space="preserve">4Q21 Supplement (Ex-99.2) p.4, press release Operating Statistics</t>
  </si>
  <si>
    <t xml:space="preserve">4Q20 Supplement (Ex-99.2) p.12, Components of Property Net Operating Income</t>
  </si>
  <si>
    <t xml:space="preserve">4Q20 Supplement (Ex-99.2) p.8, Operating Results, Other expenses</t>
  </si>
  <si>
    <t xml:space="preserve">4Q20 Supplement (Ex-99.2) p.7, Financial Highlights, 'Share price, end of period'</t>
  </si>
  <si>
    <t xml:space="preserve">4Q20 Supplement (Ex-99.2) p.7, Financial Highlights</t>
  </si>
  <si>
    <t xml:space="preserve">4Q20 Supplement (Ex-99.2) p.10, Balance Sheets, 'Land'</t>
  </si>
  <si>
    <t xml:space="preserve">4Q20 Supplement (Ex-99.2) p.10, Balance Sheets</t>
  </si>
  <si>
    <t xml:space="preserve">4Q20 Supplement (Ex-99.2) p.9, Funds from Operations</t>
  </si>
  <si>
    <t xml:space="preserve">Recurring capitalized expenditures, 12-mo ('Less: recurring capitalized expenditures'); includes pro-rata JV recurring capex $2,859</t>
  </si>
  <si>
    <t xml:space="preserve">4Q20 Supplement (Ex-99.2) p.9, Funds from Operations reconciliation</t>
  </si>
  <si>
    <t xml:space="preserve">FY2020 Form 10-K p.54, Consolidated Statements of Cash Flows</t>
  </si>
  <si>
    <t xml:space="preserve">FY2020 Form 10-K p.54, cash flow statement, financing activities</t>
  </si>
  <si>
    <t xml:space="preserve">4Q20 Supplement (Ex-99.2) p.15, 'Same Property' Year to Date Comparisons, Total row</t>
  </si>
  <si>
    <t xml:space="preserve">4Q20 Supplement (Ex-99.2) p.4, press release Operating Statistics</t>
  </si>
  <si>
    <t xml:space="preserve">Q4 2019 Earnings Release &amp; Supplement p.11, Components of Property Net Operating Income</t>
  </si>
  <si>
    <t xml:space="preserve">Q4 2019 Earnings Release &amp; Supplement p.7, Operating Results, Other expenses</t>
  </si>
  <si>
    <t xml:space="preserve">Q4 2019 Earnings Release &amp; Supplement p.6, Financial Highlights, 'Share price, end of period'</t>
  </si>
  <si>
    <t xml:space="preserve">Q4 2019 Earnings Release &amp; Supplement p.6, Financial Highlights</t>
  </si>
  <si>
    <t xml:space="preserve">Q4 2019 Earnings Release &amp; Supplement p.9, Balance Sheets, 'Land'</t>
  </si>
  <si>
    <t xml:space="preserve">Q4 2019 Earnings Release &amp; Supplement p.9, Balance Sheets</t>
  </si>
  <si>
    <t xml:space="preserve">Q4 2019 Earnings Release &amp; Supplement p.8, Funds from Operations</t>
  </si>
  <si>
    <t xml:space="preserve">Q4 2019 Earnings Release &amp; Supplement p.8, Funds from Operations reconciliation</t>
  </si>
  <si>
    <t xml:space="preserve">FY2019 Form 10-K p.56, Consolidated Statements of Cash Flows</t>
  </si>
  <si>
    <t xml:space="preserve">FY2019 Form 10-K p.56, cash flow statement, financing activities</t>
  </si>
  <si>
    <t xml:space="preserve">Q4 2019 Earnings Release &amp; Supplement p.14, 'Same Property' Year to Date Comparisons, Total row</t>
  </si>
  <si>
    <t xml:space="preserve">Effective Blended Lease Rates: NOT DISCLOSED in this vintage (disclosure began 2020); AD = n/d</t>
  </si>
  <si>
    <t xml:space="preserve">Q4 2019 Earnings Release &amp; Supplement, full-text search</t>
  </si>
  <si>
    <t xml:space="preserve">Q4 2018 Earnings Release &amp; Supplement p.11, Components of Property Net Operating Income</t>
  </si>
  <si>
    <t xml:space="preserve">Q4 2018 Earnings Release &amp; Supplement p.7, Operating Results, Other expenses</t>
  </si>
  <si>
    <t xml:space="preserve">Q4 2018 Earnings Release &amp; Supplement p.6, Financial Highlights, 'Share price, end of period'</t>
  </si>
  <si>
    <t xml:space="preserve">Q4 2018 Earnings Release &amp; Supplement p.6, Financial Highlights</t>
  </si>
  <si>
    <t xml:space="preserve">Q4 2018 Earnings Release &amp; Supplement p.9, Balance Sheets, 'Land'</t>
  </si>
  <si>
    <t xml:space="preserve">Q4 2018 Earnings Release &amp; Supplement p.9, Balance Sheets</t>
  </si>
  <si>
    <t xml:space="preserve">Q4 2018 Earnings Release &amp; Supplement p.8, Funds from Operations</t>
  </si>
  <si>
    <t xml:space="preserve">Q4 2018 Earnings Release &amp; Supplement p.8, Funds from Operations reconciliation</t>
  </si>
  <si>
    <t xml:space="preserve">FY2018 Form 10-K p.57, Consolidated Statements of Cash Flows</t>
  </si>
  <si>
    <t xml:space="preserve">FY2018 Form 10-K p.58, cash flow statement, financing activities</t>
  </si>
  <si>
    <t xml:space="preserve">Q4 2018 Earnings Release &amp; Supplement p.14, 'Same Property' Year to Date Comparisons, Total row</t>
  </si>
  <si>
    <t xml:space="preserve">Q4 2018 Earnings Release &amp; Supplement, full-text search</t>
  </si>
  <si>
    <t xml:space="preserve">Q4 2017 Earnings Release &amp; Supplement p.11, Components of Property Net Operating Income</t>
  </si>
  <si>
    <t xml:space="preserve">Q4 2017 Earnings Release &amp; Supplement p.7, Operating Results, Other expenses</t>
  </si>
  <si>
    <t xml:space="preserve">Q4 2017 Earnings Release &amp; Supplement p.6, Financial Highlights, 'Share price, end of period'</t>
  </si>
  <si>
    <t xml:space="preserve">Q4 2017 Earnings Release &amp; Supplement p.6, Financial Highlights</t>
  </si>
  <si>
    <t xml:space="preserve">Q4 2017 Earnings Release &amp; Supplement p.9, Balance Sheets, 'Land'</t>
  </si>
  <si>
    <t xml:space="preserve">Q4 2017 Earnings Release &amp; Supplement p.9, Balance Sheets</t>
  </si>
  <si>
    <t xml:space="preserve">Q4 2017 Earnings Release &amp; Supplement p.8, Funds from Operations</t>
  </si>
  <si>
    <t xml:space="preserve">Q4 2017 Earnings Release &amp; Supplement p.8, Funds from Operations reconciliation</t>
  </si>
  <si>
    <t xml:space="preserve">FY2017 Form 10-K p.63, Consolidated Statements of Cash Flows</t>
  </si>
  <si>
    <t xml:space="preserve">FY2017 Form 10-K p.64, cash flow statement, financing activities</t>
  </si>
  <si>
    <t xml:space="preserve">Q4 2017 Earnings Release &amp; Supplement p.14, 'Same Property' Year to Date Comparisons, Total row</t>
  </si>
  <si>
    <t xml:space="preserve">Q4 2017 Earnings Release &amp; Supplement, full-text search</t>
  </si>
  <si>
    <t xml:space="preserve">Q4 2016 Earnings Release &amp; Supplement p.11, Components of Property Net Operating Income, excludes discontinued operations (Las Vegas NOI $12.3M shown separately)</t>
  </si>
  <si>
    <t xml:space="preserve">Q4 2016 Earnings Release &amp; Supplement p.7, Operating Results, Other expenses</t>
  </si>
  <si>
    <t xml:space="preserve">Q4 2016 Earnings Release &amp; Supplement p.6, Financial Highlights, 'Share price, end of period'</t>
  </si>
  <si>
    <t xml:space="preserve">Q4 2016 Earnings Release &amp; Supplement p.6, Financial Highlights</t>
  </si>
  <si>
    <t xml:space="preserve">Q4 2016 Earnings Release &amp; Supplement p.9, Balance Sheets, 'Land'</t>
  </si>
  <si>
    <t xml:space="preserve">Q4 2016 Earnings Release &amp; Supplement p.9, Balance Sheets</t>
  </si>
  <si>
    <t xml:space="preserve">Q4 2016 Earnings Release &amp; Supplement p.8, Funds from Operations</t>
  </si>
  <si>
    <t xml:space="preserve">Q4 2016 Earnings Release &amp; Supplement p.8, Funds from Operations reconciliation</t>
  </si>
  <si>
    <t xml:space="preserve">FY2016 Form 10-K p.60, Consolidated Statements of Cash Flows</t>
  </si>
  <si>
    <t xml:space="preserve">Distributions Paid (to common shareholders and non-controlling interests); includes $4.25/share special dividend</t>
  </si>
  <si>
    <t xml:space="preserve">FY2016 Form 10-K p.61, cash flow statement, financing activities</t>
  </si>
  <si>
    <t xml:space="preserve">Q4 2016 Earnings Release &amp; Supplement p.14, 'Same Property' Year to Date Comparisons, Total row</t>
  </si>
  <si>
    <t xml:space="preserve">Q4 2016 Earnings Release &amp; Supplement, full-text search</t>
  </si>
  <si>
    <t xml:space="preserve">Corroboration: every FY figure cross-checked against the adjacent (following-year) supplement's prior-year columns; all ten years match exactly. Internal ties all pass: price x shares = published market equity (rounding), unsecured + secured = published total debt ($0 diff, all years), (Core) FFO - recurring capex = published (Core) AFFO ($0 diff, all years).</t>
  </si>
  <si>
    <t xml:space="preserve">Adjacent-vintage prior-year columns, FY2016-FY2025</t>
  </si>
  <si>
    <t xml:space="preserve">Preferred equity: none outstanding any year FY2016-FY2025 (10-K statement each year; 10M authorized, none issued). N = 0.</t>
  </si>
  <si>
    <t xml:space="preserve">Each FY Form 10-K, equity note / cover disclosures</t>
  </si>
  <si>
    <t xml:space="preserve">FY2022 structural event: Q2 2022 acquisition of remaining interests in the two discretionary funds consolidated 31 communities (secured debt $514.7M assumed; land 1,343,209 -&gt; 1,695,118 during 2022; income statement gain $474,146). YoY jumps in NOI and balance sheet are real.</t>
  </si>
  <si>
    <t xml:space="preserve">FY2022 Form 10-K and 4Q22 Supplement</t>
  </si>
  <si>
    <t xml:space="preserve">Camden introduced the 'Core FFO' label in 2023. R carries FFO for FY2016-FY2022 (closest recurring measure; Camden's own AFFO those years = FFO less recurring capex, so V still ties published AFFO). 4Q23 supplement restates FY2022 Core FFO as 712,807 (reference only; as-reported FFO 719,612 carried per two-document rule).</t>
  </si>
  <si>
    <t xml:space="preserve">4Q23 Supplement p.8 (restated FY2022 Core FFO)</t>
  </si>
  <si>
    <t xml:space="preserve">10 YR UST</t>
  </si>
  <si>
    <t xml:space="preserve">10-Year U.S. Treasury constant maturity, year-end (DGS10)</t>
  </si>
  <si>
    <t xml:space="preserve">FRED (Federal Reserve Bank of St. Louis)</t>
  </si>
  <si>
    <t xml:space="preserve">Primary (government data)</t>
  </si>
  <si>
    <t xml:space="preserve">https://fred.stlouisfed.org/series/DGS10 - carried over from industrial-reit-metrics.xlsx production tab</t>
  </si>
  <si>
    <t xml:space="preserve">Prime Rate</t>
  </si>
  <si>
    <t xml:space="preserve">Bank Prime Loan Rate, annual (MPRIME)</t>
  </si>
  <si>
    <t xml:space="preserve">https://fred.stlouisfed.org/series/MPRIME - carried over from industrial-reit-metrics.xlsx production tab</t>
  </si>
  <si>
    <t xml:space="preserve">Inflation</t>
  </si>
  <si>
    <t xml:space="preserve">CPIAUCSL (CPI) and WPU801 (PPI, Nonresidential Construction), annual averages, indexed 2016=100</t>
  </si>
  <si>
    <t xml:space="preserve">https://fred.stlouisfed.org/ - carried over from industrial-reit-metrics.xlsx production tab</t>
  </si>
  <si>
    <t xml:space="preserve">MAA</t>
  </si>
  <si>
    <t xml:space="preserve">FY2025: Annual NOI (Total NOI, 12-mo, NOI reconciliation)</t>
  </si>
  <si>
    <t xml:space="preserve">Mid-America Apartment Communities</t>
  </si>
  <si>
    <t xml:space="preserve">supp p.11</t>
  </si>
  <si>
    <t xml:space="preserve">FY2025: Annual Interest Paid; Year-End Share Price; Shares+Units EOY; Published Market Equity Value; Published Total Debt</t>
  </si>
  <si>
    <t xml:space="preserve">supp p.7 Financial Highlights (+ income statement); shares/units also 10-K Note 8</t>
  </si>
  <si>
    <t xml:space="preserve">FY2025: Land; Undeveloped land; Development and capital improvements in progress; Unsecured/Secured notes payable</t>
  </si>
  <si>
    <t xml:space="preserve">10-K p.56 (F-4) Consolidated Balance Sheets</t>
  </si>
  <si>
    <t xml:space="preserve">FY2025: Core FFO; Recurring capital expenditures; Published (Core) AFFO</t>
  </si>
  <si>
    <t xml:space="preserve">supp p.10 FFO reconciliation</t>
  </si>
  <si>
    <t xml:space="preserve">FY2025: Debt page (secured/unsecured split, tie-out)</t>
  </si>
  <si>
    <t xml:space="preserve">supp p.23 (S-9)</t>
  </si>
  <si>
    <t xml:space="preserve">FY2025: Same Store Average Physical Occupancy, full year</t>
  </si>
  <si>
    <t xml:space="preserve">supp p.3/p.18 (S-4)</t>
  </si>
  <si>
    <t xml:space="preserve">FY2025: Effective Blended Lease Rate Growth (twelve-month where disclosed)</t>
  </si>
  <si>
    <t xml:space="preserve">supp p.3 (twelve-month)</t>
  </si>
  <si>
    <t xml:space="preserve">FY2025: CF from operating activities; Dividends paid lines</t>
  </si>
  <si>
    <t xml:space="preserve">10-K p.60 (F-8) Consolidated Statements of Cash Flows</t>
  </si>
  <si>
    <t xml:space="preserve">FY2025: Series I preferred: 867,846 shares, $50.00 liquidation preference ($43.4M total)</t>
  </si>
  <si>
    <t xml:space="preserve">FY 10-K balance sheet caption + Note 8 (every year)</t>
  </si>
  <si>
    <t xml:space="preserve">FY2024: Annual NOI (Total NOI, 12-mo, NOI reconciliation)</t>
  </si>
  <si>
    <t xml:space="preserve">supp p.12</t>
  </si>
  <si>
    <t xml:space="preserve">FY2024: Annual Interest Paid; Year-End Share Price; Shares+Units EOY; Published Market Equity Value; Published Total Debt</t>
  </si>
  <si>
    <t xml:space="preserve">supp p.8 Financial Highlights (+ income statement); shares/units also 10-K Note 8</t>
  </si>
  <si>
    <t xml:space="preserve">FY2024: Land; Undeveloped land; Development and capital improvements in progress; Unsecured/Secured notes payable</t>
  </si>
  <si>
    <t xml:space="preserve">10-K p.57 (F-4) Consolidated Balance Sheets</t>
  </si>
  <si>
    <t xml:space="preserve">FY2024: Core FFO; Recurring capital expenditures; Published (Core) AFFO</t>
  </si>
  <si>
    <t xml:space="preserve">supp p.11 FFO reconciliation</t>
  </si>
  <si>
    <t xml:space="preserve">FY2024: Debt page (secured/unsecured split, tie-out)</t>
  </si>
  <si>
    <t xml:space="preserve">supp p.24 (S-9)</t>
  </si>
  <si>
    <t xml:space="preserve">FY2024: Same Store Average Physical Occupancy, full year</t>
  </si>
  <si>
    <t xml:space="preserve">supp p.4/p.19 (S-4)</t>
  </si>
  <si>
    <t xml:space="preserve">FY2024: Effective Blended Lease Rate Growth (twelve-month where disclosed)</t>
  </si>
  <si>
    <t xml:space="preserve">supp p.4 (twelve-month)</t>
  </si>
  <si>
    <t xml:space="preserve">FY2024: CF from operating activities; Dividends paid lines</t>
  </si>
  <si>
    <t xml:space="preserve">10-K p.61 (F-8) Consolidated Statements of Cash Flows</t>
  </si>
  <si>
    <t xml:space="preserve">FY2024: Series I preferred: 867,846 shares, $50.00 liquidation preference ($43.4M total)</t>
  </si>
  <si>
    <t xml:space="preserve">FY2023: Annual NOI (Total NOI, 12-mo, NOI reconciliation)</t>
  </si>
  <si>
    <t xml:space="preserve">FY2023: Annual Interest Paid; Year-End Share Price; Shares+Units EOY; Published Market Equity Value; Published Total Debt</t>
  </si>
  <si>
    <t xml:space="preserve">FY2023: Land; Undeveloped land; Development and capital improvements in progress; Unsecured/Secured notes payable</t>
  </si>
  <si>
    <t xml:space="preserve">10-K p.60 (F-4) Consolidated Balance Sheets</t>
  </si>
  <si>
    <t xml:space="preserve">FY2023: Core FFO; Recurring capital expenditures; Published (Core) AFFO</t>
  </si>
  <si>
    <t xml:space="preserve">FY2023: Debt page (secured/unsecured split, tie-out)</t>
  </si>
  <si>
    <t xml:space="preserve">FY2023: Same Store Average Physical Occupancy, full year</t>
  </si>
  <si>
    <t xml:space="preserve">FY2023: Effective Blended Lease Rate Growth (twelve-month where disclosed)</t>
  </si>
  <si>
    <t xml:space="preserve">FY2023: CF from operating activities; Dividends paid lines</t>
  </si>
  <si>
    <t xml:space="preserve">10-K p.64 Consolidated Statements of Cash Flows</t>
  </si>
  <si>
    <t xml:space="preserve">FY2023: Series I preferred: 867,846 shares, $50.00 liquidation preference ($43.4M total)</t>
  </si>
  <si>
    <t xml:space="preserve">FY2022: Annual NOI (Total NOI, 12-mo, NOI reconciliation)</t>
  </si>
  <si>
    <t xml:space="preserve">FY2022: Annual Interest Paid; Year-End Share Price; Shares+Units EOY; Published Market Equity Value; Published Total Debt</t>
  </si>
  <si>
    <t xml:space="preserve">FY2022: Land; Undeveloped land; Development and capital improvements in progress; Unsecured/Secured notes payable</t>
  </si>
  <si>
    <t xml:space="preserve">10-K p.51 (F-4) Consolidated Balance Sheets</t>
  </si>
  <si>
    <t xml:space="preserve">FY2022: Core FFO; Recurring capital expenditures; Published (Core) AFFO</t>
  </si>
  <si>
    <t xml:space="preserve">FY2022: Debt page (secured/unsecured split, tie-out)</t>
  </si>
  <si>
    <t xml:space="preserve">FY2022: Same Store Average Physical Occupancy, full year</t>
  </si>
  <si>
    <t xml:space="preserve">FY2022: Effective Blended Lease Rate Growth (twelve-month where disclosed)</t>
  </si>
  <si>
    <t xml:space="preserve">FY2022: CF from operating activities; Dividends paid lines</t>
  </si>
  <si>
    <t xml:space="preserve">10-K p.55 Consolidated Statements of Cash Flows</t>
  </si>
  <si>
    <t xml:space="preserve">FY2022: Series I preferred: 867,846 shares, $50.00 liquidation preference ($43.4M total)</t>
  </si>
  <si>
    <t xml:space="preserve">FY2021: Annual NOI (Total NOI, 12-mo, NOI reconciliation)</t>
  </si>
  <si>
    <t xml:space="preserve">FY2021: Annual Interest Paid; Year-End Share Price; Shares+Units EOY; Published Market Equity Value; Published Total Debt</t>
  </si>
  <si>
    <t xml:space="preserve">FY2021: Land; Undeveloped land; Development and capital improvements in progress; Unsecured/Secured notes payable</t>
  </si>
  <si>
    <t xml:space="preserve">10-K p.57 Consolidated Balance Sheets</t>
  </si>
  <si>
    <t xml:space="preserve">FY2021: Core FFO; Recurring capital expenditures; Published (Core) AFFO</t>
  </si>
  <si>
    <t xml:space="preserve">FY2021: Debt page (secured/unsecured split, tie-out)</t>
  </si>
  <si>
    <t xml:space="preserve">supp p.25 (S-9)</t>
  </si>
  <si>
    <t xml:space="preserve">FY2021: Same Store Average Physical Occupancy, full year</t>
  </si>
  <si>
    <t xml:space="preserve">supp p.4/p.20 (S-4)</t>
  </si>
  <si>
    <t xml:space="preserve">FY2021: Effective Blended Lease Rate Growth (twelve-month where disclosed)</t>
  </si>
  <si>
    <t xml:space="preserve">FY2021: CF from operating activities; Dividends paid lines</t>
  </si>
  <si>
    <t xml:space="preserve">10-K p.61 Consolidated Statements of Cash Flows</t>
  </si>
  <si>
    <t xml:space="preserve">FY2021: Series I preferred: 867,846 shares, $50.00 liquidation preference ($43.4M total)</t>
  </si>
  <si>
    <t xml:space="preserve">FY2020: Annual NOI (Total NOI, 12-mo, NOI reconciliation)</t>
  </si>
  <si>
    <t xml:space="preserve">supp p.15</t>
  </si>
  <si>
    <t xml:space="preserve">FY2020: Annual Interest Paid; Year-End Share Price; Shares+Units EOY; Published Market Equity Value; Published Total Debt</t>
  </si>
  <si>
    <t xml:space="preserve">supp p.10 Financial Highlights (+ income statement); shares/units also 10-K Note 8</t>
  </si>
  <si>
    <t xml:space="preserve">FY2020: Land; Undeveloped land; Development and capital improvements in progress; Unsecured/Secured notes payable</t>
  </si>
  <si>
    <t xml:space="preserve">10-K p.54 (F-6) Consolidated Balance Sheets</t>
  </si>
  <si>
    <t xml:space="preserve">FY2020: Core FFO; Recurring capital expenditures; Published (Core) AFFO</t>
  </si>
  <si>
    <t xml:space="preserve">supp p.14 FFO reconciliation</t>
  </si>
  <si>
    <t xml:space="preserve">FY2020: Debt page (secured/unsecured split, tie-out)</t>
  </si>
  <si>
    <t xml:space="preserve">supp p.28 (S-9)</t>
  </si>
  <si>
    <t xml:space="preserve">FY2020: Same Store Average Physical Occupancy, full year</t>
  </si>
  <si>
    <t xml:space="preserve">supp p.23 (S-4)</t>
  </si>
  <si>
    <t xml:space="preserve">FY2020: Effective Blended Lease Rate Growth (twelve-month where disclosed)</t>
  </si>
  <si>
    <t xml:space="preserve">supp p.5 (twelve-month, combined-basis narrative)</t>
  </si>
  <si>
    <t xml:space="preserve">FY2020: CF from operating activities; Dividends paid lines</t>
  </si>
  <si>
    <t xml:space="preserve">10-K p.58 (F-10) Consolidated Statements of Cash Flows</t>
  </si>
  <si>
    <t xml:space="preserve">FY2020: Series I preferred: 867,846 shares, $50.00 liquidation preference ($43.4M total)</t>
  </si>
  <si>
    <t xml:space="preserve">FY2019: Annual NOI (Total NOI, 12-mo, NOI reconciliation)</t>
  </si>
  <si>
    <t xml:space="preserve">supp p.14</t>
  </si>
  <si>
    <t xml:space="preserve">FY2019: Annual Interest Paid; Year-End Share Price; Shares+Units EOY; Published Market Equity Value; Published Total Debt</t>
  </si>
  <si>
    <t xml:space="preserve">supp p.9 Financial Highlights (+ income statement); shares/units also 10-K Note 8</t>
  </si>
  <si>
    <t xml:space="preserve">FY2019: Land; Undeveloped land; Development and capital improvements in progress; Unsecured/Secured notes payable</t>
  </si>
  <si>
    <t xml:space="preserve">10-K p.52 (F-5) Consolidated Balance Sheets</t>
  </si>
  <si>
    <t xml:space="preserve">FY2019: FFO (no Core FFO dollar figure this vintage; footnoted); Recurring capital expenditures; Published (Core) AFFO</t>
  </si>
  <si>
    <t xml:space="preserve">supp p.13 FFO reconciliation</t>
  </si>
  <si>
    <t xml:space="preserve">FY2019: Debt page (secured/unsecured split, tie-out)</t>
  </si>
  <si>
    <t xml:space="preserve">supp p.28 (S-10)</t>
  </si>
  <si>
    <t xml:space="preserve">FY2019: Same Store Average Physical Occupancy, full year</t>
  </si>
  <si>
    <t xml:space="preserve">supp p.22 (S-4)</t>
  </si>
  <si>
    <t xml:space="preserve">FY2019: Effective Blended Lease Rate Growth (twelve-month where disclosed)</t>
  </si>
  <si>
    <t xml:space="preserve">supp p.4 (twelve-month, combined-basis narrative)</t>
  </si>
  <si>
    <t xml:space="preserve">FY2019: CF from operating activities; Dividends paid lines</t>
  </si>
  <si>
    <t xml:space="preserve">10-K p.56 (F-9) Consolidated Statements of Cash Flows</t>
  </si>
  <si>
    <t xml:space="preserve">FY2019: Series I preferred: 867,846 shares, $50.00 liquidation preference ($43.4M total)</t>
  </si>
  <si>
    <t xml:space="preserve">FY2018: Annual NOI (Total NOI, 12-mo, NOI reconciliation)</t>
  </si>
  <si>
    <t xml:space="preserve">FY2018: Annual Interest Paid; Year-End Share Price; Shares+Units EOY; Published Market Equity Value; Published Total Debt</t>
  </si>
  <si>
    <t xml:space="preserve">FY2018: Land; Undeveloped land; Development and capital improvements in progress; Unsecured/Secured notes payable</t>
  </si>
  <si>
    <t xml:space="preserve">10-K p.61 (F-4) Consolidated Balance Sheets</t>
  </si>
  <si>
    <t xml:space="preserve">FY2018: FFO (no Core FFO dollar figure this vintage; footnoted); Recurring capital expenditures; Published (Core) AFFO</t>
  </si>
  <si>
    <t xml:space="preserve">FY2018: Debt page (secured/unsecured split, tie-out)</t>
  </si>
  <si>
    <t xml:space="preserve">FY2018: Same Store Average Physical Occupancy, full year</t>
  </si>
  <si>
    <t xml:space="preserve">FY2018: Effective Blended Lease Rate Growth (twelve-month where disclosed)</t>
  </si>
  <si>
    <t xml:space="preserve">supp p.4 (FY blended narrative)</t>
  </si>
  <si>
    <t xml:space="preserve">FY2018: CF from operating activities; Dividends paid lines</t>
  </si>
  <si>
    <t xml:space="preserve">10-K p.66 (F-7) Consolidated Statements of Cash Flows</t>
  </si>
  <si>
    <t xml:space="preserve">FY2018: Series I preferred: 867,846 shares, $50.00 liquidation preference ($43.4M total)</t>
  </si>
  <si>
    <t xml:space="preserve">FY2017: Annual NOI (Total NOI, 12-mo, NOI reconciliation)</t>
  </si>
  <si>
    <t xml:space="preserve">FY2017: Annual Interest Paid; Year-End Share Price; Shares+Units EOY; Published Market Equity Value; Published Total Debt</t>
  </si>
  <si>
    <t xml:space="preserve">FY2017: Land; Undeveloped land; Development and capital improvements in progress; Unsecured/Secured notes payable</t>
  </si>
  <si>
    <t xml:space="preserve">10-K p.62 (F-4) Consolidated Balance Sheets</t>
  </si>
  <si>
    <t xml:space="preserve">FY2017: FFO (no Core FFO dollar figure this vintage; footnoted); Recurring capital expenditures; Published (Core) AFFO</t>
  </si>
  <si>
    <t xml:space="preserve">FY2017: Debt page (secured/unsecured split, tie-out)</t>
  </si>
  <si>
    <t xml:space="preserve">supp p.30 (S-10)</t>
  </si>
  <si>
    <t xml:space="preserve">FY2017: Same Store Average Physical Occupancy, full year</t>
  </si>
  <si>
    <t xml:space="preserve">10-K MD&amp;A p.35 (FY); supp S-4 (Q4)</t>
  </si>
  <si>
    <t xml:space="preserve">FY2017: Effective Blended Lease Rate Growth (twelve-month where disclosed)</t>
  </si>
  <si>
    <t xml:space="preserve">n/d (not disclosed this vintage)</t>
  </si>
  <si>
    <t xml:space="preserve">FY2017: CF from operating activities; Dividends paid lines</t>
  </si>
  <si>
    <t xml:space="preserve">10-K p.67-68 (F-8) Consolidated Statements of Cash Flows</t>
  </si>
  <si>
    <t xml:space="preserve">FY2017: Series I preferred: 867,846 shares, $50.00 liquidation preference ($43.4M total)</t>
  </si>
  <si>
    <t xml:space="preserve">FY2016: Annual NOI (Total NOI, 12-mo, NOI reconciliation)</t>
  </si>
  <si>
    <t xml:space="preserve">FY2016: Annual Interest Paid; Year-End Share Price; Shares+Units EOY; Published Market Equity Value; Published Total Debt</t>
  </si>
  <si>
    <t xml:space="preserve">FY2016: Land; Undeveloped land; Development and capital improvements in progress; Unsecured/Secured notes payable</t>
  </si>
  <si>
    <t xml:space="preserve">10-K p.83 (F-5) Consolidated Balance Sheets</t>
  </si>
  <si>
    <t xml:space="preserve">FY2016: Core FFO; Recurring capital expenditures; Published (Core) AFFO</t>
  </si>
  <si>
    <t xml:space="preserve">FY2016: Debt page (secured/unsecured split, tie-out)</t>
  </si>
  <si>
    <t xml:space="preserve">FY2016: Same Store Average Physical Occupancy, full year</t>
  </si>
  <si>
    <t xml:space="preserve">10-K MD&amp;A p.57 (FY); supp p.4 (Q4)</t>
  </si>
  <si>
    <t xml:space="preserve">FY2016: Effective Blended Lease Rate Growth (twelve-month where disclosed)</t>
  </si>
  <si>
    <t xml:space="preserve">FY2016: CF from operating activities; Dividends paid lines</t>
  </si>
  <si>
    <t xml:space="preserve">10-K p.89 Consolidated Statements of Cash Flows</t>
  </si>
  <si>
    <t xml:space="preserve">FY2016: Series I preferred: 867,846 shares, $50.00 liquidation preference ($43.4M total)</t>
  </si>
  <si>
    <t xml:space="preserve">Corroboration: NOI totals, interest, FFO/Core FFO, recurring capex (except 2017/2018 restatements, see tab notes), debt, shares and prices all match adjacent-vintage prior-year columns. Ties: debt exact all years; market cap within $1K; AFFO identity exact all years.</t>
  </si>
  <si>
    <t xml:space="preserve">AVB</t>
  </si>
  <si>
    <t xml:space="preserve">FY2025: Annual NOI (12-mo, NOI reconciliation; consolidated, excl. JVs and sold/HFS NOI)</t>
  </si>
  <si>
    <t xml:space="preserve">AvalonBay Communities</t>
  </si>
  <si>
    <t xml:space="preserve">Q4 2025 release Att 13 Table 6</t>
  </si>
  <si>
    <t xml:space="preserve">FY2025: Interest expense, net; Total outstanding common shares and OP/DownREIT units EOY</t>
  </si>
  <si>
    <t xml:space="preserve">Q4 2025 release Att 1 (agrees with 10-K income statement / balance sheet)</t>
  </si>
  <si>
    <t xml:space="preserve">FY2025: Asset Preservation Capex (recurring capex analog), total portfolio</t>
  </si>
  <si>
    <t xml:space="preserve">Q4 2025 release Att 8, Expensed Community Maintenance Costs and Capitalized Community Expenditures</t>
  </si>
  <si>
    <t xml:space="preserve">FY2025: FFO and Core FFO attributable to common stockholders</t>
  </si>
  <si>
    <t xml:space="preserve">Q4 2025 release Att 13 Table 3</t>
  </si>
  <si>
    <t xml:space="preserve">FY2025: Debt: balance-sheet carrying lines (10-K); published Total Debt principal; deferred-cost bridge (10-K debt note footnotes)</t>
  </si>
  <si>
    <t xml:space="preserve">Q4 2025 release Att 11 + 10-K Note (debt)</t>
  </si>
  <si>
    <t xml:space="preserve">FY2025: Same Store (Established) Economic Occupancy, full year</t>
  </si>
  <si>
    <t xml:space="preserve">Q4 2025 release Att 6 (FY)</t>
  </si>
  <si>
    <t xml:space="preserve">FY2025: Like-term effective rent change, total (blend)</t>
  </si>
  <si>
    <t xml:space="preserve">Q4 2025 release Att 3 (Q4 total -0.3%)</t>
  </si>
  <si>
    <t xml:space="preserve">FY2025: Land and improvements; CIP incl land; Land held for development; CFO; Dividends paid</t>
  </si>
  <si>
    <t xml:space="preserve">FY2025 10-K Consolidated Balance Sheets + 10-K stmts of cash flows</t>
  </si>
  <si>
    <t xml:space="preserve">FY2024: Annual NOI (12-mo, NOI reconciliation; consolidated, excl. JVs and sold/HFS NOI)</t>
  </si>
  <si>
    <t xml:space="preserve">Q4 2024 release Att 14 Table 6</t>
  </si>
  <si>
    <t xml:space="preserve">FY2024: Interest expense, net; Total outstanding common shares and OP/DownREIT units EOY</t>
  </si>
  <si>
    <t xml:space="preserve">Q4 2024 release Att 1 (agrees with 10-K income statement / balance sheet)</t>
  </si>
  <si>
    <t xml:space="preserve">FY2024: Asset Preservation Capex (recurring capex analog), total portfolio</t>
  </si>
  <si>
    <t xml:space="preserve">Q4 2024 release Att 8, Expensed Community Maintenance Costs and Capitalized Community Expenditures</t>
  </si>
  <si>
    <t xml:space="preserve">FY2024: FFO and Core FFO attributable to common stockholders</t>
  </si>
  <si>
    <t xml:space="preserve">Q4 2024 release Att 14 Table 3</t>
  </si>
  <si>
    <t xml:space="preserve">FY2024: Debt: balance-sheet carrying lines (10-K); published Total Debt principal; deferred-cost bridge (10-K debt note footnotes)</t>
  </si>
  <si>
    <t xml:space="preserve">Q4 2024 release Att 11 + 10-K Note 3</t>
  </si>
  <si>
    <t xml:space="preserve">FY2024: Same Store (Established) Economic Occupancy, full year</t>
  </si>
  <si>
    <t xml:space="preserve">Q4 2024 release Att 6 (FY)</t>
  </si>
  <si>
    <t xml:space="preserve">FY2024: Like-term effective rent change, total (blend)</t>
  </si>
  <si>
    <t xml:space="preserve">Q4 2024 release Att 3 (Q4 total 1.1%)</t>
  </si>
  <si>
    <t xml:space="preserve">FY2024: Land and improvements; CIP incl land; Land held for development; CFO; Dividends paid</t>
  </si>
  <si>
    <t xml:space="preserve">FY2024 10-K Consolidated Balance Sheets + 10-K stmts of cash flows</t>
  </si>
  <si>
    <t xml:space="preserve">FY2023: Annual NOI (12-mo, NOI reconciliation; consolidated, excl. JVs and sold/HFS NOI)</t>
  </si>
  <si>
    <t xml:space="preserve">Q4 2023 release Att 14 Table 5</t>
  </si>
  <si>
    <t xml:space="preserve">FY2023: Interest expense, net; Total outstanding common shares and OP/DownREIT units EOY</t>
  </si>
  <si>
    <t xml:space="preserve">Q4 2023 release Att 1 (agrees with 10-K income statement / balance sheet)</t>
  </si>
  <si>
    <t xml:space="preserve">FY2023: Asset Preservation Capex (recurring capex analog), total portfolio</t>
  </si>
  <si>
    <t xml:space="preserve">Q4 2023 release Att 8, Expensed Community Maintenance Costs and Capitalized Community Expenditures</t>
  </si>
  <si>
    <t xml:space="preserve">FY2023: FFO and Core FFO attributable to common stockholders</t>
  </si>
  <si>
    <t xml:space="preserve">Q4 2023 release Att 14 Table 2</t>
  </si>
  <si>
    <t xml:space="preserve">FY2023: Debt: balance-sheet carrying lines (10-K); published Total Debt principal; deferred-cost bridge (10-K debt note footnotes)</t>
  </si>
  <si>
    <t xml:space="preserve">Q4 2023 release Att 11 + 10-K Note 3</t>
  </si>
  <si>
    <t xml:space="preserve">FY2023: Same Store (Established) Economic Occupancy, full year</t>
  </si>
  <si>
    <t xml:space="preserve">Q4 2023 release Att 6 (FY)</t>
  </si>
  <si>
    <t xml:space="preserve">FY2023: Like-term effective rent change, total (blend)</t>
  </si>
  <si>
    <t xml:space="preserve">Q4 2023 release Att 3 (Q4 total 1.4%)</t>
  </si>
  <si>
    <t xml:space="preserve">FY2023: Land and improvements; CIP incl land; Land held for development; CFO; Dividends paid</t>
  </si>
  <si>
    <t xml:space="preserve">FY2023 10-K Consolidated Balance Sheets + 10-K stmts of cash flows</t>
  </si>
  <si>
    <t xml:space="preserve">FY2022: Annual NOI (12-mo, NOI reconciliation; consolidated, excl. JVs and sold/HFS NOI)</t>
  </si>
  <si>
    <t xml:space="preserve">Q4 2022 release Att 14 Table 5</t>
  </si>
  <si>
    <t xml:space="preserve">FY2022: Interest expense, net; Total outstanding common shares and OP/DownREIT units EOY</t>
  </si>
  <si>
    <t xml:space="preserve">Q4 2022 release Att 1 (agrees with 10-K income statement / balance sheet)</t>
  </si>
  <si>
    <t xml:space="preserve">FY2022: Asset Preservation Capex (recurring capex analog), total portfolio</t>
  </si>
  <si>
    <t xml:space="preserve">Q4 2022 release Att 8, Expensed Community Maintenance Costs and Capitalized Community Expenditures</t>
  </si>
  <si>
    <t xml:space="preserve">FY2022: FFO and Core FFO attributable to common stockholders</t>
  </si>
  <si>
    <t xml:space="preserve">Q4 2022 release Att 14 Table 2</t>
  </si>
  <si>
    <t xml:space="preserve">FY2022: Debt: balance-sheet carrying lines (10-K); published Total Debt principal; deferred-cost bridge (10-K debt note footnotes)</t>
  </si>
  <si>
    <t xml:space="preserve">Q4 2022 release Att 11 + 10-K Note 3</t>
  </si>
  <si>
    <t xml:space="preserve">FY2022: Same Store (Established) Economic Occupancy, full year</t>
  </si>
  <si>
    <t xml:space="preserve">Q4 2022 release Att 6 (FY)</t>
  </si>
  <si>
    <t xml:space="preserve">FY2022: Like-term effective rent change, total (blend)</t>
  </si>
  <si>
    <t xml:space="preserve">Q4 2022 release n/d (monthly-only vintage: Oct 6.2/Nov 5.1/Dec 3.6)</t>
  </si>
  <si>
    <t xml:space="preserve">FY2022: Land and improvements; CIP incl land; Land held for development; CFO; Dividends paid</t>
  </si>
  <si>
    <t xml:space="preserve">FY2022 10-K Consolidated Balance Sheets + 10-K stmts of cash flows</t>
  </si>
  <si>
    <t xml:space="preserve">FY2021: Annual NOI (12-mo, NOI reconciliation; consolidated, excl. JVs and sold/HFS NOI)</t>
  </si>
  <si>
    <t xml:space="preserve">Q4 2021 release Att 14 Table 5</t>
  </si>
  <si>
    <t xml:space="preserve">FY2021: Interest expense, net; Total outstanding common shares and OP/DownREIT units EOY</t>
  </si>
  <si>
    <t xml:space="preserve">Q4 2021 release Att 1 (agrees with 10-K income statement / balance sheet)</t>
  </si>
  <si>
    <t xml:space="preserve">FY2021: Asset Preservation Capex (recurring capex analog), total portfolio</t>
  </si>
  <si>
    <t xml:space="preserve">Q4 2021 release Att 8, Expensed Community Maintenance Costs and Capitalized Community Expenditures</t>
  </si>
  <si>
    <t xml:space="preserve">FY2021: FFO and Core FFO attributable to common stockholders</t>
  </si>
  <si>
    <t xml:space="preserve">Q4 2021 release Att 14 Table 2</t>
  </si>
  <si>
    <t xml:space="preserve">FY2021: Debt: balance-sheet carrying lines (10-K); published Total Debt principal; deferred-cost bridge (10-K debt note footnotes)</t>
  </si>
  <si>
    <t xml:space="preserve">Q4 2021 release Att 11 + 10-K note</t>
  </si>
  <si>
    <t xml:space="preserve">FY2021: Same Store (Established) Economic Occupancy, full year</t>
  </si>
  <si>
    <t xml:space="preserve">Q4 2021 release Att 6 (FY)</t>
  </si>
  <si>
    <t xml:space="preserve">FY2021: Like-term effective rent change, total (blend)</t>
  </si>
  <si>
    <t xml:space="preserve">Q4 2021 release Att 3 (Q4 total 11.1%)</t>
  </si>
  <si>
    <t xml:space="preserve">FY2021: Land and improvements; CIP incl land; Land held for development; CFO; Dividends paid</t>
  </si>
  <si>
    <t xml:space="preserve">FY2021 10-K Consolidated Balance Sheets + 10-K stmts of cash flows</t>
  </si>
  <si>
    <t xml:space="preserve">FY2020: Annual NOI (12-mo, NOI reconciliation; consolidated, excl. JVs and sold/HFS NOI)</t>
  </si>
  <si>
    <t xml:space="preserve">Q4 2020 release Att 14 Table 5</t>
  </si>
  <si>
    <t xml:space="preserve">FY2020: Interest expense, net; Total outstanding common shares and OP/DownREIT units EOY</t>
  </si>
  <si>
    <t xml:space="preserve">Q4 2020 release Att 1 (agrees with 10-K income statement / balance sheet)</t>
  </si>
  <si>
    <t xml:space="preserve">FY2020: Asset Preservation Capex (recurring capex analog), total portfolio</t>
  </si>
  <si>
    <t xml:space="preserve">Q4 2020 release Att 8, Expensed Community Maintenance Costs and Capitalized Community Expenditures</t>
  </si>
  <si>
    <t xml:space="preserve">FY2020: FFO and Core FFO attributable to common stockholders</t>
  </si>
  <si>
    <t xml:space="preserve">Q4 2020 release Att 14 Table 2</t>
  </si>
  <si>
    <t xml:space="preserve">FY2020: Debt: balance-sheet carrying lines (10-K); published Total Debt principal; deferred-cost bridge (10-K debt note footnotes)</t>
  </si>
  <si>
    <t xml:space="preserve">Q4 2020 release Att 11 + 10-K Note 3</t>
  </si>
  <si>
    <t xml:space="preserve">FY2020: Same Store (Established) Economic Occupancy, full year</t>
  </si>
  <si>
    <t xml:space="preserve">Q4 2020 release Att 6 (FY)</t>
  </si>
  <si>
    <t xml:space="preserve">FY2020: Like-term effective rent change, total (blend)</t>
  </si>
  <si>
    <t xml:space="preserve">Q4 2020 release Att 3 (Q4 like-term effective total -11.2%)</t>
  </si>
  <si>
    <t xml:space="preserve">FY2020: Land and improvements; CIP incl land; Land held for development; CFO; Dividends paid</t>
  </si>
  <si>
    <t xml:space="preserve">FY2020 10-K Consolidated Balance Sheets + 10-K stmts of cash flows</t>
  </si>
  <si>
    <t xml:space="preserve">FY2019: Annual NOI (12-mo, NOI reconciliation; consolidated, excl. JVs and sold/HFS NOI)</t>
  </si>
  <si>
    <t xml:space="preserve">Q4 2019 release Att 15 Table 7</t>
  </si>
  <si>
    <t xml:space="preserve">FY2019: Interest expense, net; Total outstanding common shares and OP/DownREIT units EOY</t>
  </si>
  <si>
    <t xml:space="preserve">Q4 2019 release Att 1 (agrees with 10-K income statement / balance sheet)</t>
  </si>
  <si>
    <t xml:space="preserve">FY2019: Asset Preservation Capex (recurring capex analog), total portfolio</t>
  </si>
  <si>
    <t xml:space="preserve">Q4 2019 release Att 8, Expensed Community Maintenance Costs and Capitalized Community Expenditures</t>
  </si>
  <si>
    <t xml:space="preserve">FY2019: FFO and Core FFO attributable to common stockholders</t>
  </si>
  <si>
    <t xml:space="preserve">Q4 2019 release Att 15 Table 4</t>
  </si>
  <si>
    <t xml:space="preserve">FY2019: Debt: balance-sheet carrying lines (10-K); published Total Debt principal; deferred-cost bridge (10-K debt note footnotes)</t>
  </si>
  <si>
    <t xml:space="preserve">Q4 2019 release Att 12 + 10-K Note 4</t>
  </si>
  <si>
    <t xml:space="preserve">FY2019: Same Store (Established) Economic Occupancy, full year</t>
  </si>
  <si>
    <t xml:space="preserve">Q4 2019 release Att 6 (FY)</t>
  </si>
  <si>
    <t xml:space="preserve">FY2019: Like-term effective rent change, total (blend)</t>
  </si>
  <si>
    <t xml:space="preserve">Q4 2019 release n/d (values not printed this vintage)</t>
  </si>
  <si>
    <t xml:space="preserve">FY2019: Land and improvements; CIP incl land; Land held for development; CFO; Dividends paid</t>
  </si>
  <si>
    <t xml:space="preserve">FY2019 10-K Consolidated Balance Sheets + 10-K stmts of cash flows</t>
  </si>
  <si>
    <t xml:space="preserve">FY2018: Annual NOI (12-mo, NOI reconciliation; consolidated, excl. JVs and sold/HFS NOI)</t>
  </si>
  <si>
    <t xml:space="preserve">Q4 2018 release Att 15 Table 6</t>
  </si>
  <si>
    <t xml:space="preserve">FY2018: Interest expense, net; Total outstanding common shares and OP/DownREIT units EOY</t>
  </si>
  <si>
    <t xml:space="preserve">Q4 2018 release Att 1 (agrees with 10-K income statement / balance sheet)</t>
  </si>
  <si>
    <t xml:space="preserve">FY2018: Asset Preservation Capex (recurring capex analog), total portfolio</t>
  </si>
  <si>
    <t xml:space="preserve">Q4 2018 release Att 8, Expensed Community Maintenance Costs and Capitalized Community Expenditures</t>
  </si>
  <si>
    <t xml:space="preserve">FY2018: FFO and Core FFO attributable to common stockholders</t>
  </si>
  <si>
    <t xml:space="preserve">Q4 2018 release Att 15 Table 3</t>
  </si>
  <si>
    <t xml:space="preserve">FY2018: Debt: balance-sheet carrying lines (10-K); published Total Debt principal; deferred-cost bridge (10-K debt note footnotes)</t>
  </si>
  <si>
    <t xml:space="preserve">Q4 2018 release Att 12 + 10-K Note 3</t>
  </si>
  <si>
    <t xml:space="preserve">FY2018: Same Store (Established) Economic Occupancy, full year</t>
  </si>
  <si>
    <t xml:space="preserve">Q4 2018 release Att 6 (FY)</t>
  </si>
  <si>
    <t xml:space="preserve">FY2018: Like-term effective rent change, total (blend)</t>
  </si>
  <si>
    <t xml:space="preserve">Q4 2018 release Att 3-area table (Q4 total 2.5%)</t>
  </si>
  <si>
    <t xml:space="preserve">FY2018: Land and improvements; CIP incl land; Land held for development; CFO; Dividends paid</t>
  </si>
  <si>
    <t xml:space="preserve">FY2018 10-K Consolidated Balance Sheets + 10-K stmts of cash flows</t>
  </si>
  <si>
    <t xml:space="preserve">FY2017: Annual NOI (12-mo, NOI reconciliation; consolidated, excl. JVs and sold/HFS NOI)</t>
  </si>
  <si>
    <t xml:space="preserve">Q4 2017 release Att 15 NOI reconciliation</t>
  </si>
  <si>
    <t xml:space="preserve">FY2017: Interest expense, net; Total outstanding common shares and OP/DownREIT units EOY</t>
  </si>
  <si>
    <t xml:space="preserve">Q4 2017 release Att 1 (agrees with 10-K income statement / balance sheet)</t>
  </si>
  <si>
    <t xml:space="preserve">FY2017: Asset Preservation Capex (recurring capex analog), total portfolio</t>
  </si>
  <si>
    <t xml:space="preserve">Q4 2017 release Att 8, Expensed Community Maintenance Costs and Capitalized Community Expenditures</t>
  </si>
  <si>
    <t xml:space="preserve">FY2017: FFO and Core FFO attributable to common stockholders</t>
  </si>
  <si>
    <t xml:space="preserve">Q4 2017 release Att 15</t>
  </si>
  <si>
    <t xml:space="preserve">FY2017: Debt: balance-sheet carrying lines (10-K); published Total Debt principal; deferred-cost bridge (10-K debt note footnotes)</t>
  </si>
  <si>
    <t xml:space="preserve">Q4 2017 release Att 12 + 10-K Note 3</t>
  </si>
  <si>
    <t xml:space="preserve">FY2017: Same Store (Established) Economic Occupancy, full year</t>
  </si>
  <si>
    <t xml:space="preserve">Q4 2017 release Att 6 (FY)</t>
  </si>
  <si>
    <t xml:space="preserve">FY2017: Like-term effective rent change, total (blend)</t>
  </si>
  <si>
    <t xml:space="preserve">Q4 2017 release Att 3 (FULL YEAR total 2.1%)</t>
  </si>
  <si>
    <t xml:space="preserve">FY2017: Land and improvements; CIP incl land; Land held for development; CFO; Dividends paid</t>
  </si>
  <si>
    <t xml:space="preserve">FY2017 10-K Consolidated Balance Sheets + 10-K stmts of cash flows</t>
  </si>
  <si>
    <t xml:space="preserve">FY2016: Annual NOI (12-mo, NOI reconciliation; consolidated, excl. JVs and sold/HFS NOI)</t>
  </si>
  <si>
    <t xml:space="preserve">Q4 2016 release Att 15 NOI reconciliation</t>
  </si>
  <si>
    <t xml:space="preserve">FY2016: Interest expense, net; Total outstanding common shares and OP/DownREIT units EOY</t>
  </si>
  <si>
    <t xml:space="preserve">Q4 2016 release Att 1 (agrees with 10-K income statement / balance sheet)</t>
  </si>
  <si>
    <t xml:space="preserve">FY2016: Asset Preservation Capex (recurring capex analog), total portfolio</t>
  </si>
  <si>
    <t xml:space="preserve">Q4 2016 release Att 8 ('Non-Rev Generating' vintage), Expensed Community Maintenance Costs and Capitalized Community Expenditures</t>
  </si>
  <si>
    <t xml:space="preserve">FY2016: FFO and Core FFO attributable to common stockholders</t>
  </si>
  <si>
    <t xml:space="preserve">Q4 2016 release Att 15</t>
  </si>
  <si>
    <t xml:space="preserve">FY2016: Debt: balance-sheet carrying lines (10-K); published Total Debt principal; deferred-cost bridge (10-K debt note footnotes)</t>
  </si>
  <si>
    <t xml:space="preserve">Q4 2016 release Att 12 + 10-K Note 3</t>
  </si>
  <si>
    <t xml:space="preserve">FY2016: Same Store (Established) Economic Occupancy, full year</t>
  </si>
  <si>
    <t xml:space="preserve">Q4 2016 release Att 6 (FY, Established)</t>
  </si>
  <si>
    <t xml:space="preserve">FY2016: Like-term effective rent change, total (blend)</t>
  </si>
  <si>
    <t xml:space="preserve">Q4 2016 release n/d (no like-term disclosure this vintage)</t>
  </si>
  <si>
    <t xml:space="preserve">FY2016: Land and improvements; CIP incl land; Land held for development; CFO; Dividends paid</t>
  </si>
  <si>
    <t xml:space="preserve">FY2016 10-K Consolidated Balance Sheets + 10-K stmts of cash flows</t>
  </si>
  <si>
    <t xml:space="preserve">OPEN ITEM: Year-end share prices FY2016-FY2025 NOT published in any AVB filing (no market equity value either). Column E pending Chip input from a primary market-data source; record the source here when supplied. Price-dependent cells guarded blank meanwhile.</t>
  </si>
  <si>
    <t xml:space="preserve">PENDING</t>
  </si>
  <si>
    <t xml:space="preserve">Corroboration: interest, FFO, Core FFO match adjacent-vintage prior-year columns exactly all years. NOI prior-year columns are RE-BASED by AVB for dispositions each vintage (own-vintage figures carried; expected difference, not an error). Debt tie (carrying + deferred costs = published principal) exact all ten years. Asset Preservation attachment is current-year-only (no cross-vintage check possible).</t>
  </si>
  <si>
    <t xml:space="preserve">AVB H basis: no pure land figure exists in AVB filings (balance sheet and Schedule III both combine 'Land and improvements'); H carries 'Land and improvements' - broader than CPT/MAA pure Land. Documented basis difference.</t>
  </si>
  <si>
    <t xml:space="preserve">MAA Post Properties merger closed December 1, 2016 (filings; supersedes the handoff's 'October 2016'). FY2016 includes Post for one month; year-end balance sheet full. Flagged on the MAA tab.</t>
  </si>
  <si>
    <t xml:space="preserve">RESOLVED: Year-End Share Price (E), FY2016-FY2025, supplied by Chip 2026-07-23 from the AVB Investor Relations page, Historical Data tab (year-end closes: 2016 $177.15; 2017 $178.41; 2018 $174.05; 2019 $209.70; 2020 $160.43; 2021 $252.59; 2022 $161.52; 2023 $187.22; 2024 $219.97; 2025 $181.31). Market-data input (MKT DATA tag), analogous to the 10 YR UST inputs; not from the two-document extraction.</t>
  </si>
  <si>
    <t xml:space="preserve">AvalonBay Investor Relations (via Chip)</t>
  </si>
  <si>
    <t xml:space="preserve">Primary (issuer IR market data)</t>
  </si>
  <si>
    <t xml:space="preserve">https://investors.avalonbay.com/ Historical Data tab</t>
  </si>
  <si>
    <t xml:space="preserve">Composite</t>
  </si>
  <si>
    <t xml:space="preserve">Stabilized-TEV-weighted composite of AVB/MAA/CPT; per-year weights = per-REIT Stabilized TEV (col Q) / combined; identical method to industrial/office composites. AD weighted only 2020/2021/2023/2024/2025 (all-three availability); AD and AE mix disclosure bases (flagged on tab).</t>
  </si>
  <si>
    <t xml:space="preserve">Internal (derived from per-REIT tabs)</t>
  </si>
  <si>
    <t xml:space="preserve">Composite tab weights block rows 33-42</t>
  </si>
  <si>
    <t xml:space="preserve">Costar - US Multifamily</t>
  </si>
  <si>
    <t xml:space="preserve">US multifamily national annual series 2000-2031 (vacancy, asking rent/unit, rent growth, inventory, deliveries, starts, absorption, UC, sale price/unit, market cap rate). VINTAGE: July 2026 export ('CoStar Markets MF Annual 07.24.26.xlsx', pulled by Chip 2026-07-24). 2026 EST/YTD and 2027-2031 are CoStar estimates/forecasts.</t>
  </si>
  <si>
    <t xml:space="preserve">CoStar</t>
  </si>
  <si>
    <t xml:space="preserve">Licensed data (Chip pull)</t>
  </si>
  <si>
    <t xml:space="preserve">REIT FILES/MF Green Street and CoStar/</t>
  </si>
  <si>
    <t xml:space="preserve">Per refresh</t>
  </si>
  <si>
    <t xml:space="preserve">2026-07-24</t>
  </si>
  <si>
    <t xml:space="preserve">Green Street National</t>
  </si>
  <si>
    <t xml:space="preserve">Apartment sector, 50-market Weighted Average rows: Supply Growth and Market-RevPAF Growth (annual, actuals 2001-2025, forecasts to 2030); Nominal Cap Rates and CPPI (quarterly, 4Q values used; through 2Q26). VINTAGE: Standardized Downloads pulled by Chip 2026-07-24 (July 2026). CPPI rebased 2016=100.</t>
  </si>
  <si>
    <t xml:space="preserve">Green Street</t>
  </si>
  <si>
    <t xml:space="preserve">REIT FILES/MF Green Street and CoStar/ (Supply Growth, Market-RevPAF Growth, Market Cap Rates, CPPI files)</t>
  </si>
  <si>
    <t xml:space="preserve">vs Market tabs</t>
  </si>
  <si>
    <t xml:space="preserve">Four vs-Market tabs (AVB, MAA, CPT, Composite) mirror the industrial 29-column structure; all cells INDEX/MATCH formulas against the per-REIT, macro and market tabs; rent metrics per UNIT (multifamily) instead of per SF. Page chart-source vintage line for the future HTML cluster: 'CoStar and Green Street data as loaded in the companion workbook (July 2026)'.</t>
  </si>
  <si>
    <t xml:space="preserve">Internal (derived)</t>
  </si>
  <si>
    <t xml:space="preserve">This workbook</t>
  </si>
  <si>
    <t xml:space="preserve">H/I REDEFINITION (Chip decision 2026-07-24): H = land held for development only (AVB 'Land held for development'; MAA 'Undeveloped land'; CPT 0, combined line note); I = development/CIP (CPT's combined 'Properties under development, including land' carried as-is). Operating land (land under existing buildings) is part of the income-producing base and is NO LONGER deducted in J/K/Q; it is retained in per-tab reference columns (AX / CPT staging AK). All downstream metrics (stabilized market cap, TEV, implied cap rates, multiples, TEV weights) changed accordingly; chart statics, page PNGs and page copy regenerated in the same pass.</t>
  </si>
  <si>
    <t xml:space="preserve">Spreadsheet cleanup (Chip decisions 2026-07-24): (1) Y (10-Yr UST) now stored as a true fraction with percent formatting (4.18%, previously displayed 418%); vs-Market UST formulas adjusted so nothing double-divides. (2) AD (blended lease rate growth) cleared on all four grid tabs; column left blank. (3) MAA AL header clarified to note it excludes the separately stated Undeveloped land line (AVB and CPT development lines include project land per their filings and remain labeled accordingly). (4) Operating-land reference columns (AX) removed from AVB/MAA.</t>
  </si>
  <si>
    <t xml:space="preserve">AvalonBay Communities, Inc. (NYSE: AVB): Annualized Financial Model</t>
  </si>
  <si>
    <t xml:space="preserve">This model represents active property operations on an annualized, consolidated basis, adjusted to isolate stabilized property yields by deducting development and land held. Column structure mirrors the CPT and MAA tabs and the CRE42 office/industrial per-REIT tabs, with the approved multifamily changes (U = recurring capex / Asset Preservation, S/T n/a, WALT omitted). As-filed figures ($000) in the reference block AG-AT with tie-outs AU-AW. OPEN ITEM: year-end share prices are NOT published in AVB's filings; column E awaits Chip's input from a primary market-data source. See Mapping and Open Items below and the Sources tab.</t>
  </si>
  <si>
    <t xml:space="preserve">Annual Financial Grid</t>
  </si>
  <si>
    <t xml:space="preserve">SUPP</t>
  </si>
  <si>
    <t xml:space="preserve">CALC</t>
  </si>
  <si>
    <t xml:space="preserve">MKT DATA*</t>
  </si>
  <si>
    <t xml:space="preserve">10K</t>
  </si>
  <si>
    <t xml:space="preserve">N/A*</t>
  </si>
  <si>
    <t xml:space="preserve">SUPP*</t>
  </si>
  <si>
    <t xml:space="preserve">SEE 10 YR UST TAB</t>
  </si>
  <si>
    <t xml:space="preserve">Fiscal Year</t>
  </si>
  <si>
    <t xml:space="preserve">Annual NOI ($M)</t>
  </si>
  <si>
    <t xml:space="preserve">Annual Interest Paid ($M)</t>
  </si>
  <si>
    <t xml:space="preserve">Leveraged Property Cash Flow ($M)</t>
  </si>
  <si>
    <t xml:space="preserve">Year-End Share Price ($)</t>
  </si>
  <si>
    <t xml:space="preserve">SHARES OUTSTANDING (END OF YEAR)</t>
  </si>
  <si>
    <t xml:space="preserve">Market Cap ($M)</t>
  </si>
  <si>
    <t xml:space="preserve">LAND HELD FOR DEVELOPMENT</t>
  </si>
  <si>
    <t xml:space="preserve">DEVELOPMENT / CIP (SEE NOTES)</t>
  </si>
  <si>
    <t xml:space="preserve">Dev &amp; Land Value ($M)</t>
  </si>
  <si>
    <t xml:space="preserve">Stabilized Market Cap ($M)</t>
  </si>
  <si>
    <t xml:space="preserve">UNSECURED DEBT</t>
  </si>
  <si>
    <t xml:space="preserve">LOANS PAYABLE (SECURED)</t>
  </si>
  <si>
    <t xml:space="preserve">PREFERRED EQUITY (TREATED AS DEBT)</t>
  </si>
  <si>
    <t xml:space="preserve">TOTAL PROPERTY DEBT</t>
  </si>
  <si>
    <t xml:space="preserve">Total Enterprise Value ($M)</t>
  </si>
  <si>
    <t xml:space="preserve">Stabilized TEV ($M)</t>
  </si>
  <si>
    <t xml:space="preserve">Core FFO ($M)</t>
  </si>
  <si>
    <t xml:space="preserve">TI</t>
  </si>
  <si>
    <t xml:space="preserve">LC</t>
  </si>
  <si>
    <t xml:space="preserve">RECURRING CAPEX ($M)</t>
  </si>
  <si>
    <t xml:space="preserve">Estimated AFFO ($M)</t>
  </si>
  <si>
    <t xml:space="preserve">CF PROVIDED BY OPERATING ACTIVITIES</t>
  </si>
  <si>
    <t xml:space="preserve">DISTRIBUTIONS PAID ($M)</t>
  </si>
  <si>
    <t xml:space="preserve">10-Yr UST Yield (%)</t>
  </si>
  <si>
    <t xml:space="preserve">Stabilized Implied Cap Rate (%)</t>
  </si>
  <si>
    <t xml:space="preserve">Stabilized Leveraged Equity Yield (%)</t>
  </si>
  <si>
    <t xml:space="preserve">Gross NOI Multiple (x)</t>
  </si>
  <si>
    <t xml:space="preserve">Leveraged NOI Multiple (x)</t>
  </si>
  <si>
    <t xml:space="preserve">Same-Store Avg Occupancy, Full Year (%) (basis per Sources)</t>
  </si>
  <si>
    <t xml:space="preserve">FY TOTAL NOI ($000)</t>
  </si>
  <si>
    <t xml:space="preserve">FY INTEREST EXPENSE, NET ($000)</t>
  </si>
  <si>
    <t xml:space="preserve">FY CORE FFO ($000)</t>
  </si>
  <si>
    <t xml:space="preserve">FY RECURRING CAPEX / ASSET PRESERVATION ($000)</t>
  </si>
  <si>
    <t xml:space="preserve">LAND HELD FOR DEVELOPMENT ($000)</t>
  </si>
  <si>
    <t xml:space="preserve">CONSTRUCTION IN PROGRESS, INCL PROJECT LAND ($000)</t>
  </si>
  <si>
    <t xml:space="preserve">CF FROM OPERATING ACTIVITIES ($000)</t>
  </si>
  <si>
    <t xml:space="preserve">DIVIDENDS/DISTRIBUTIONS PAID ($000)</t>
  </si>
  <si>
    <t xml:space="preserve">SHARES+UNITS EOY (000)</t>
  </si>
  <si>
    <t xml:space="preserve">PUBLISHED MARKET EQUITY VALUE EOY ($000)</t>
  </si>
  <si>
    <t xml:space="preserve">PUBLISHED TOTAL DEBT ($000)</t>
  </si>
  <si>
    <t xml:space="preserve">UNSECURED DEBT, CARRYING ($000)</t>
  </si>
  <si>
    <t xml:space="preserve">SECURED DEBT, CARRYING ($000)</t>
  </si>
  <si>
    <t xml:space="preserve">DEFERRED FIN. COSTS + DISCOUNTS ($000, EXPLICIT SUM)</t>
  </si>
  <si>
    <t xml:space="preserve">TIE-OUT: DEBT ($000, ~0)</t>
  </si>
  <si>
    <t xml:space="preserve">TIE-OUT: MARKET CAP ($000, ~0)</t>
  </si>
  <si>
    <t xml:space="preserve">TIE-OUT: AFFO ($000, ~0)</t>
  </si>
  <si>
    <t xml:space="preserve">n/a</t>
  </si>
  <si>
    <t xml:space="preserve">Mapping and Open Items (column letters as on this tab)</t>
  </si>
  <si>
    <t xml:space="preserve">Structure mirrors CPT/MAA and the office/industrial per-REIT tabs. AVB publishes its supplemental as ATTACHMENTS to the Q4 earnings release (8-K Ex-99.2); citations on the Sources tab reference attachment/section names because attachment numbering shifts across vintages.</t>
  </si>
  <si>
    <t xml:space="preserve">E (SHARE PRICE) RESOLVED 2026-07-23: AVB publishes no year-end share price or market equity value in its filings; year-end closing prices 2016-2025 supplied by Chip from the AVB Investor Relations page, Historical Data tab, and entered as market-data inputs (tag MKT DATA, analogous to the 10 YR UST tab inputs). No published equity value exists to tie against, so the market-cap tie-out (AV) remains n/a.</t>
  </si>
  <si>
    <t xml:space="preserve">B (Annual NOI): release NOI reconciliation (net income to NOI), consolidated, twelve months; includes commercial NOI; EXCLUDES unconsolidated JV NOI and NOI from assets sold or held for sale in that vintage. AVB RE-BASES prior-year NOI each vintage for dispositions, so adjacent-vintage prior-year columns intentionally differ from own-vintage figures; own-vintage carried (interest/FFO/Core FFO corroborate exactly across vintages).</t>
  </si>
  <si>
    <t xml:space="preserve">C (Interest): 'Interest expense, net' - net of capitalized interest AND includes interest income offsets in some years (noted per year on Sources). As reported.</t>
  </si>
  <si>
    <t xml:space="preserve">F (SHARES): 'Total outstanding common shares and operating partnership units' (common + DownREIT units; units were 7,500 through 2022, redeemed 2023, 1,059,995 issued April 2025 in the Dallas-Fort Worth acquisition).</t>
  </si>
  <si>
    <t xml:space="preserve">H (LAND VALUE) BASIS NOTE: AVB publishes NO pure land figure anywhere (balance sheet and Schedule III both combine 'Land and improvements'). H carries the balance-sheet 'Land and improvements' line - a broader basis than CPT/MAA's pure Land. Flagged, not adjustable from the filings.</t>
  </si>
  <si>
    <t xml:space="preserve">I: 'Construction in progress, including land' + 'Land held for development' (explicit sum in AL). Same economic content as CPT's 'Properties under development and land' and MAA's CIP + undeveloped land.</t>
  </si>
  <si>
    <t xml:space="preserve">L/M: balance-sheet carrying values (unsecured notes net + credit facility/commercial paper net; mortgage notes net). AVB's published Total Debt is PRINCIPAL; tie-out AU = carrying + disclosed deferred financing costs/discounts (AT, explicit sum from the 10-K debt note footnotes) less published principal = ZERO in all ten years.</t>
  </si>
  <si>
    <t xml:space="preserve">N (PREFERRED): 0 all years - zero preferred shares outstanding every year (balance sheet).</t>
  </si>
  <si>
    <t xml:space="preserve">R (Core FFO): 'Core FFO attributable to common stockholders' - published in ALL ten vintages (2016-2025).</t>
  </si>
  <si>
    <t xml:space="preserve">U (RECURRING CAPEX): 'Asset Preservation' capitalized expenditures, total portfolio row, from the Expensed Community Maintenance Costs and Capitalized Community Expenditures attachment ('capital expenditures that the Company does not expect will directly result in increased revenue or expense savings'). Excludes NOI Enhancing and redevelopment/construction. FY2016 VARIANT: that vintage's category is 'Non-Rev Generating' ($64,509 total, includes $5,881 corporate) - predecessor label, carried as printed. FY2017+ use the Asset Preservation label. NOTE: attachment is current-year-only, so no adjacent-vintage corroboration exists for this column.</t>
  </si>
  <si>
    <t xml:space="preserve">V (Estimated AFFO) = R - U. AVB publishes NO AFFO measure; V is a CRE42 construct (Core FFO less Asset Preservation Capex) - flagged; no tie-out possible (AW n/a).</t>
  </si>
  <si>
    <t xml:space="preserve">X (DISTRIBUTIONS): 'Dividends paid' (common) from the 10-K cash flow statement. DownREIT/JV distribution lines (under $0.5M/yr) excluded; noted.</t>
  </si>
  <si>
    <t xml:space="preserve">AD (Blended Lease Rate Growth) MIXED BASIS - per-year basis on Sources: like-term effective rent change TOTAL (blend). FY figure exists only in the 2017 vintage (2.1%); Q4-quarter figures 2018, 2020, 2021, 2023-2025; n/d 2016 and 2019 (not printed in those vintages) and 2022 (monthly-only: Oct 6.2%/Nov 5.1%/Dec 3.6%).</t>
  </si>
  <si>
    <t xml:space="preserve">AE (Occupancy): Same Store (pre-2021 'Established Communities') ECONOMIC occupancy, full year - AVB's only published occupancy measure (revenue-based: possible revenue less vacancy loss over possible revenue). Differs in basis from CPT/MAA physical occupancy - flagged.</t>
  </si>
  <si>
    <t xml:space="preserve">Tie-outs: AU (debt) zero all ten years. AV/AW n/a (no published market equity or AFFO). Cross-vintage: interest, FFO, Core FFO corroborate exactly against adjacent-vintage prior-year columns all years.</t>
  </si>
  <si>
    <t xml:space="preserve">H/I REDEFINITION (Chip decision 2026-07-24): H = 'Land held for development' ONLY; I = 'Construction in progress, including land' (project land stays with the pipeline). Operating 'Land and improvements' is NO LONGER deducted in J (reference column removed per Chip 2026-07-24; values per each year's balance sheet, cited on Sources): land under existing buildings is part of the income-producing base and belongs in the stabilized denominator. This supersedes the earlier H basis note. FY2019 H = 0 as reported (no land held for development that year-end).</t>
  </si>
  <si>
    <t xml:space="preserve">AD (Effective Blended Lease Rate Growth) REMOVED per Chip decision 2026-07-24; column intentionally left blank (mixed disclosure bases; see Sources for the underlying figures).</t>
  </si>
  <si>
    <t xml:space="preserve">AVB vs. Market: Public-Market Pricing Against Multifamily Fundamentals (2016-2025)</t>
  </si>
  <si>
    <t xml:space="preserve">All cells derived by formula from the AVB, 10 YR UST, Prime Rate, Inflation, Costar - US Multifamily and Green Street National tabs; no hardcoded data. Sources and vintages on the Sources tab.</t>
  </si>
  <si>
    <t xml:space="preserve">AVB Stabilized Implied Cap Rate (%)</t>
  </si>
  <si>
    <t xml:space="preserve">Spread: Cap Rate less UST (pp)</t>
  </si>
  <si>
    <t xml:space="preserve">AVB Stabilized Leveraged Equity Yield (%)</t>
  </si>
  <si>
    <t xml:space="preserve">Leverage Contribution: Lev Yield less Cap Rate (pp)</t>
  </si>
  <si>
    <t xml:space="preserve">CoStar National Vacancy (%)</t>
  </si>
  <si>
    <t xml:space="preserve">CoStar Market Asking Rent Growth (%)</t>
  </si>
  <si>
    <t xml:space="preserve">CoStar Deliveries (% of Inventory)</t>
  </si>
  <si>
    <t xml:space="preserve">Prime Rate (%)</t>
  </si>
  <si>
    <t xml:space="preserve">Stabilized TEV less NOI ($M)</t>
  </si>
  <si>
    <t xml:space="preserve">Stabilized Market Cap less Leveraged Cash Flow ($M)</t>
  </si>
  <si>
    <t xml:space="preserve">CPI Inflation, YoY (%)</t>
  </si>
  <si>
    <t xml:space="preserve">Green Street Nominal Cap Rate, 4Q (%)</t>
  </si>
  <si>
    <t xml:space="preserve">Green Street CPPI (2016 = 100)</t>
  </si>
  <si>
    <t xml:space="preserve">Construction PPI (2016 = 100)</t>
  </si>
  <si>
    <t xml:space="preserve">CPI (2016 = 100)</t>
  </si>
  <si>
    <t xml:space="preserve">CoStar Market Asking Rent (2016 = 100)</t>
  </si>
  <si>
    <t xml:space="preserve">Green Street Market-RevPAF Growth (%)</t>
  </si>
  <si>
    <t xml:space="preserve">CoStar Occupancy Change, YoY (pp)</t>
  </si>
  <si>
    <t xml:space="preserve">CoStar Market Asking Rent ($/Unit)</t>
  </si>
  <si>
    <t xml:space="preserve">CoStar National Occupancy (%)</t>
  </si>
  <si>
    <t xml:space="preserve">Green Street Market-RevPAF (2016 = 100)</t>
  </si>
  <si>
    <t xml:space="preserve">Metric definitions (in order of appearance)</t>
  </si>
  <si>
    <t xml:space="preserve">AVB Stabilized Implied Cap Rate (%): Annual NOI divided by Stabilized TEV (equity market cap less development and land, plus total property debt). CRE42-defined measure from the AVB tab.</t>
  </si>
  <si>
    <t xml:space="preserve">10-Yr UST Yield (%): 10-year U.S. Treasury constant maturity, year-end (FRED DGS10).</t>
  </si>
  <si>
    <t xml:space="preserve">Spread: Cap Rate less UST (pp): stabilized implied cap rate less the 10-year UST yield.</t>
  </si>
  <si>
    <t xml:space="preserve">AVB Stabilized Leveraged Equity Yield (%): leveraged property cash flow (NOI less interest) divided by stabilized equity market cap.</t>
  </si>
  <si>
    <t xml:space="preserve">Leverage Contribution: Lev Yield less Cap Rate (pp).</t>
  </si>
  <si>
    <t xml:space="preserve">CoStar National Vacancy (%): national multifamily vacancy rate, annual (CoStar).</t>
  </si>
  <si>
    <t xml:space="preserve">CoStar Market Asking Rent Growth (%): year-over-year national multifamily asking rent growth (CoStar).</t>
  </si>
  <si>
    <t xml:space="preserve">CoStar Deliveries (% of Inventory): annual national net delivered units as a share of inventory units (CoStar).</t>
  </si>
  <si>
    <t xml:space="preserve">Gross NOI Multiple (x): CRE42-defined measure. Stabilized TEV / Annual NOI.</t>
  </si>
  <si>
    <t xml:space="preserve">Leveraged NOI Multiple (x): CRE42-defined measure. Stabilized Market Cap / Leveraged Property Cash Flow.</t>
  </si>
  <si>
    <t xml:space="preserve">Annual NOI ($M): AVB property net operating income, twelve months (see AVB tab mapping notes).</t>
  </si>
  <si>
    <t xml:space="preserve">Stabilized TEV ($M): equity market capitalization less development and land held, plus total property debt.</t>
  </si>
  <si>
    <t xml:space="preserve">Leveraged Property Cash Flow ($M): Annual NOI less interest paid.</t>
  </si>
  <si>
    <t xml:space="preserve">Stabilized Market Cap ($M): equity market capitalization less development and land held.</t>
  </si>
  <si>
    <t xml:space="preserve">Prime Rate (%): U.S. bank prime loan rate, annual average (FRED MPRIME).</t>
  </si>
  <si>
    <t xml:space="preserve">Stabilized TEV less NOI ($M): chart source column.</t>
  </si>
  <si>
    <t xml:space="preserve">Stabilized Market Cap less Leveraged Cash Flow ($M): chart source column.</t>
  </si>
  <si>
    <t xml:space="preserve">CPI Inflation, YoY (%): CPIAUCSL annual average, year-over-year (FRED).</t>
  </si>
  <si>
    <t xml:space="preserve">Green Street Nominal Cap Rate, 4Q (%): apartment nominal cap rate, 50-market weighted average, fourth quarter (Green Street).</t>
  </si>
  <si>
    <t xml:space="preserve">Green Street CPPI (2016 = 100): apartment Commercial Property Price Index, weighted average, 4Q, rebased to 2016 (Green Street).</t>
  </si>
  <si>
    <t xml:space="preserve">Construction PPI (2016 = 100): PPI nonresidential construction (WPU801), annual average, rebased (FRED).</t>
  </si>
  <si>
    <t xml:space="preserve">CPI (2016 = 100): CPIAUCSL annual average, rebased (FRED).</t>
  </si>
  <si>
    <t xml:space="preserve">CoStar Market Asking Rent (2016 = 100): national multifamily asking rent per unit, rebased to 2016 (CoStar).</t>
  </si>
  <si>
    <t xml:space="preserve">Green Street Market-RevPAF Growth (%): apartment revenue per available foot growth, weighted average (Green Street).</t>
  </si>
  <si>
    <t xml:space="preserve">CoStar Occupancy Change, YoY (pp): change in national occupancy (1 less vacancy), year over year (CoStar).</t>
  </si>
  <si>
    <t xml:space="preserve">CoStar Market Asking Rent ($/Unit): national multifamily asking rent per unit per month (CoStar).</t>
  </si>
  <si>
    <t xml:space="preserve">CoStar National Occupancy (%): 1 less national vacancy (CoStar).</t>
  </si>
  <si>
    <t xml:space="preserve">Green Street Market-RevPAF (2016 = 100): index built from Market-RevPAF growth, 2016 = 100.</t>
  </si>
  <si>
    <t xml:space="preserve">Mid-America Apartment Communities, Inc. (NYSE: MAA): Annualized Financial Model</t>
  </si>
  <si>
    <t xml:space="preserve">This model represents active property operations on an annualized, consolidated basis, adjusted to isolate stabilized property yields by deducting the development pipeline and land held. Column structure mirrors the CPT and AVB tabs and the CRE42 office/industrial per-REIT tabs, with the approved multifamily changes (U = recurring capex, S/T n/a, WALT omitted). N carries the Series I preferred at total liquidation preference (HIW precedent). As-filed figures ($000) in the reference block AG-AT with tie-outs AU-AW. See Mapping and Open Items below and the Sources tab.</t>
  </si>
  <si>
    <t xml:space="preserve">10K*</t>
  </si>
  <si>
    <t xml:space="preserve">UNDEVELOPED LAND ($000)</t>
  </si>
  <si>
    <t xml:space="preserve">DEVELOPMENT AND CAPITAL IMPROVEMENTS IN PROGRESS ($000) (EXCLUDES UNDEVELOPED LAND, SEPARATELY STATED)</t>
  </si>
  <si>
    <t xml:space="preserve">PUBLISHED (CORE) AFFO ($000)</t>
  </si>
  <si>
    <t xml:space="preserve">Structure mirrors CPT/AVB and the office/industrial per-REIT tabs. All inputs from each year's own Form 10-K + Q4 Earnings Release/Supplemental pair.</t>
  </si>
  <si>
    <t xml:space="preserve">FY2016 STRUCTURAL EVENT: the Post Properties merger closed DECEMBER 1, 2016 (per the FY2016 10-K; the prior handoff said October - the filings say December 1). FY2016 income-statement figures include Post for ONE MONTH ONLY; the year-end balance sheet includes Post fully. The Series I preferred and most of 2016's balance-sheet jump come from the merger. CUZ/Parkway-style flag.</t>
  </si>
  <si>
    <t xml:space="preserve">B (Annual NOI): supplement 'Total NOI' from the NOI reconciliation, twelve months, consolidated (Same Store + Non-Same Store and Other). Excludes the one unconsolidated JV (269 units, D.C.). Same-store pools re-base each vintage; totals corroborate exactly across vintages.</t>
  </si>
  <si>
    <t xml:space="preserve">F (SHARES): 'Common shares and units outstanding' EOY (common + OP units held by outside limited partners, 2.9-4.2M units). G = E x F ties published Market equity value within $1K all ten years (tie-out AV).</t>
  </si>
  <si>
    <t xml:space="preserve">N (PREFERRED): 8.50% Series I Cumulative Redeemable (Post-merger legacy), 867,846 shares ALL ten year-ends, carried at TOTAL LIQUIDATION PREFERENCE = 867,846 x $50.00 = $43.39M (HIW precedent; balance sheet carries only $9K par). The embedded-derivative gain/loss on the Series I is already excluded from Core FFO by MAA.</t>
  </si>
  <si>
    <t xml:space="preserve">R (Core FFO): label history - 'Core funds from operations' printed 2016 and 2020-2025; NOT printed 2017-2019 (FFO/AFFO/FAD vintages; 2019 prints Core FFO per-share only). R carries Core FFO where published (2016, 2020-2025) and FFO for 2017-2019, footnoted. V = R - U ties the published AFFO/Core AFFO EXACTLY in all ten years either way (tie-out AW zero).</t>
  </si>
  <si>
    <t xml:space="preserve">U (RECURRING CAPEX): 'Recurring capital expenditures' from the FFO reconciliation (MAA definition: scheduled carpet, roofs, HVAC, plumbing, paving, pools, exterior improvements). Excludes redevelopment, revenue-enhancing, commercial and other capex (all separately disclosed). RESTATEMENT NOTE: the 4Q18 and 4Q19 supplements restate FY2017 recurring capex 75,235 to 71,636 and FY2018 74,693 to 71,960 (category reclassification); own-vintage figures carried per the two-document rule.</t>
  </si>
  <si>
    <t xml:space="preserve">X (DISTRIBUTIONS): supplement 'Dividends and distributions paid' (common dividends + OP-unit/NCI distributions - matches F's shares+units basis; excludes the $3.7M/yr preferred dividend, consistent with N treating preferred as debt).</t>
  </si>
  <si>
    <t xml:space="preserve">AD (Blended Lease Rate Growth): TRUE TWELVE-MONTH effective blended (new + renewal) lease rate growth - published 2018-2025 (narrative or statistics table). n/d 2016-2017 (not disclosed; only average effective rent per unit growth in those vintages).</t>
  </si>
  <si>
    <t xml:space="preserve">AE (Occupancy): Same Store Average PHYSICAL Occupancy, full year (daily average). 2016-2017 full-year figures appear only in the 10-K MD&amp;A (supplements print Q4 only); 2018+ in the supplement. As-published, pool re-bases each vintage.</t>
  </si>
  <si>
    <t xml:space="preserve">Tie-outs: AU (debt: unsecured + secured carrying vs published total) ZERO all ten years. AV (market cap) within $1K rounding all years. AW (Core FFO/FFO less recurring capex vs published Core AFFO/AFFO) ZERO all ten years.</t>
  </si>
  <si>
    <t xml:space="preserve">H/I REDEFINITION (Chip decision 2026-07-24): H = 'Undeveloped land' ONLY; I = 'Development and capital improvements in progress'. Operating 'Land' is no longer deducted in J (reference column removed per Chip 2026-07-24; values per each year's balance sheet, cited on Sources) (income-producing base).</t>
  </si>
  <si>
    <t xml:space="preserve">MAA vs. Market: Public-Market Pricing Against Multifamily Fundamentals (2016-2025)</t>
  </si>
  <si>
    <t xml:space="preserve">All cells derived by formula from the MAA, 10 YR UST, Prime Rate, Inflation, Costar - US Multifamily and Green Street National tabs; no hardcoded data. Sources and vintages on the Sources tab.</t>
  </si>
  <si>
    <t xml:space="preserve">MAA Stabilized Implied Cap Rate (%)</t>
  </si>
  <si>
    <t xml:space="preserve">MAA Stabilized Leveraged Equity Yield (%)</t>
  </si>
  <si>
    <t xml:space="preserve">MAA Stabilized Implied Cap Rate (%): Annual NOI divided by Stabilized TEV (equity market cap less development and land, plus total property debt). CRE42-defined measure from the MAA tab.</t>
  </si>
  <si>
    <t xml:space="preserve">MAA Stabilized Leveraged Equity Yield (%): leveraged property cash flow (NOI less interest) divided by stabilized equity market cap.</t>
  </si>
  <si>
    <t xml:space="preserve">Annual NOI ($M): MAA property net operating income, twelve months (see MAA tab mapping notes).</t>
  </si>
  <si>
    <t xml:space="preserve">Camden Property Trust (NYSE: CPT): Annualized Financial Model</t>
  </si>
  <si>
    <t xml:space="preserve">This model represents active property operations on an annualized, consolidated basis, adjusted to isolate stabilized property yields by deducting the development pipeline and land. Column structure mirrors the CRE42 office (BXP Final, CUZ Final, HIW Final) and industrial (EGP, FR, STAG) per-REIT tabs, with the approved multifamily changes: U carries RECURRING CAPEX in place of TILC (no TI/LC in apartments; S/T are n/a) and WALT (AF/AG) is omitted. As-filed figures ($000) sit in the reference block at columns AG-AW with tie-outs against Camden's published market equity value, total debt, and (Core) AFFO. See Mapping and Open Items below and the Sources tab.</t>
  </si>
  <si>
    <t xml:space="preserve">DEVELOPMENT INCL LAND (COMBINED LINE, SEE NOTES)</t>
  </si>
  <si>
    <t xml:space="preserve">Same-Property Weighted Avg Occupancy, Full Year (%)</t>
  </si>
  <si>
    <t xml:space="preserve">FY TOTAL PROPERTY NOI ($000)</t>
  </si>
  <si>
    <t xml:space="preserve">FY INTEREST EXPENSE ($000)</t>
  </si>
  <si>
    <t xml:space="preserve">FY CORE FFO / FFO ($000)</t>
  </si>
  <si>
    <t xml:space="preserve">FY RECURRING CAPITALIZED EXPENDITURES ($000)</t>
  </si>
  <si>
    <t xml:space="preserve">LAND, OPERATING (REFERENCE ONLY, NOT IN H/J) ($000)</t>
  </si>
  <si>
    <t xml:space="preserve">PROPERTIES UNDER DEVELOPMENT INCL LAND ($000)</t>
  </si>
  <si>
    <t xml:space="preserve">DISTRIBUTIONS TO COMMON &amp; NCI ($000)</t>
  </si>
  <si>
    <t xml:space="preserve">COMMON AND COMMON EQUIVALENT SHARES EOY (000)</t>
  </si>
  <si>
    <t xml:space="preserve">UNSECURED NOTES PAYABLE ($000)</t>
  </si>
  <si>
    <t xml:space="preserve">SECURED NOTES PAYABLE ($000)</t>
  </si>
  <si>
    <t xml:space="preserve">TIE-OUT: DEBT ($000, =AR+AS-AQ, ~0)</t>
  </si>
  <si>
    <t xml:space="preserve">TIE-OUT: MARKET CAP ($000, =E*AO-AP, ~0)</t>
  </si>
  <si>
    <t xml:space="preserve">TIE-OUT: AFFO ($000, =AI-AJ-AT, ~0)</t>
  </si>
  <si>
    <t xml:space="preserve">Column structure mirrors the office (BXP/CUZ/HIW Final) and industrial (EGP, FR, STAG) per-REIT tabs with the approved multifamily changes (Chip decisions 2026-07-23): U = RECURRING CAPEX replaces TILC (S/T n/a - apartments have no TI or leasing commissions); WALT columns omitted (one-year leases). As-filed inputs ($000, from each year's own 10-K + Q4 supplement pair) sit in the reference block at AG-AT with tie-outs at AU-AW.</t>
  </si>
  <si>
    <t xml:space="preserve">B (Annual NOI): supplement Components of Property NOI, 'Total Property Net Operating Income', twelve months, consolidated (includes non-same-store, development/lease-up, and disposed communities). Excludes unconsolidated JV NOI: Camden's two discretionary funds were unconsolidated until acquired and consolidated in Q2 2022 (JV share small). FY2016 excludes discontinued operations (Las Vegas; $12.3M NOI shown separately that year).</t>
  </si>
  <si>
    <t xml:space="preserve">F (SHARES OUTSTANDING): 'Common and common equivalent shares, outstanding end of period' - includes ~1.6-1.9M common share equivalents from assumed conversion of non-controlling OP units, so G (E x F) equals Camden's published market equity value (tie-out AV).</t>
  </si>
  <si>
    <t xml:space="preserve">M (LOANS PAYABLE): secured notes payable. Zero 2019-2021 (Camden was fully unsecured); the Q2 2022 fund consolidation assumed $514.7M of secured (mortgage) debt. The 2022 jumps in NOI, land, and secured debt are real (fund consolidation), not extraction errors.</t>
  </si>
  <si>
    <t xml:space="preserve">N (PREFERRED): 0 all ten years - Camden has 10M preferred shares authorized, none outstanding (10-K statement each year).</t>
  </si>
  <si>
    <t xml:space="preserve">R (Core FFO): Camden introduced the 'Core FFO' label in 2023. FY2016-FY2022 carry FFO (NAREIT) as the closest recurring measure, per the extraction prompt fallback; Camden's own AFFO in those vintages = FFO less recurring capex, so V still ties published AFFO exactly. 4Q23 supplement restates FY2022 Core FFO as $712,807 (reference only; as-reported FY2022 FFO $719,612 carried per the two-document rule).</t>
  </si>
  <si>
    <t xml:space="preserve">U (RECURRING CAPEX): 'Less: recurring capitalized expenditures' from the FFO-page reconciliation - Camden's definition: 'capital expenditures necessary to help preserve the value of and maintain the functionality at our communities.' Excludes non-recurring and revenue-enhancing capitalized expenditures (Camden separates these), matching the Chip preference to exclude renovation beyond normal turnover. FY2020 includes pro-rata JV recurring capex ($2,859K). FY2022: standalone capex page shows $90,223K vs $90,715K on the FFO page ($492K diff); the FFO-page figure is carried (AFFO reconciles).</t>
  </si>
  <si>
    <t xml:space="preserve">V (Estimated AFFO) = R - U ties Camden's published AFFO (2016-2022) / Core AFFO (2023-2025) EXACTLY in all ten years (tie-out AW). This is the multifamily analog of the office/industrial AFFO = Core FFO - TILC.</t>
  </si>
  <si>
    <t xml:space="preserve">X (DISTRIBUTIONS): 'Distributions to common shareholders and non-controlling interests', 10-K cash flow statement (one combined line; consistent with F including OP units). FY2016 ($663.4M) is elevated by the $4.25/share special dividend.</t>
  </si>
  <si>
    <t xml:space="preserve">AD (Effective Blended Lease Rate Growth): 4Q, date-effective basis, same-property portfolio - Camden publishes no full-year blended figure, so the Q4-quarter measure is carried, flagged (HIW GAAP-rent-growth precedent). n/d FY2016-FY2019: disclosure began 2020. Weighted average of effective new lease and renewal rate growth vs expiring leases.</t>
  </si>
  <si>
    <t xml:space="preserve">AE (Occupancy): same-property full-year weighted average PHYSICAL occupancy (Camden definition: physically occupied homes / total homes), total same-property row of the YTD comparisons page. Same-property pool re-bases each vintage, so year-over-year comparisons of this column mix pools slightly - as published.</t>
  </si>
  <si>
    <t xml:space="preserve">Tie-outs: AU = built debt (AR+AS) less published Total Debt - ZERO in all ten years. AV = price x shares/units less published Market Equity Value - within $1K rounding all years. AW = R - U less published (Core) AFFO ($000 basis) - ZERO in all ten years. Corroboration: every figure cross-checked against the adjacent vintage's prior-year columns; all match.</t>
  </si>
  <si>
    <t xml:space="preserve">H/I REDEFINITION (Chip decision 2026-07-24): Camden reports development and held land as ONE combined balance-sheet line ('Properties under development, including land'), so H = 0 with this note and I carries the combined line; the held-land component cannot be split from the filings. Operating 'Land' (staging AK) is reference only and is no longer deducted in J.</t>
  </si>
  <si>
    <t xml:space="preserve">CPT vs. Market: Public-Market Pricing Against Multifamily Fundamentals (2016-2025)</t>
  </si>
  <si>
    <t xml:space="preserve">All cells derived by formula from the CPT, 10 YR UST, Prime Rate, Inflation, Costar - US Multifamily and Green Street National tabs; no hardcoded data. Sources and vintages on the Sources tab.</t>
  </si>
  <si>
    <t xml:space="preserve">CPT Stabilized Implied Cap Rate (%)</t>
  </si>
  <si>
    <t xml:space="preserve">CPT Stabilized Leveraged Equity Yield (%)</t>
  </si>
  <si>
    <t xml:space="preserve">CPT Stabilized Implied Cap Rate (%): Annual NOI divided by Stabilized TEV (equity market cap less development and land, plus total property debt). CRE42-defined measure from the CPT tab.</t>
  </si>
  <si>
    <t xml:space="preserve">CPT Stabilized Leveraged Equity Yield (%): leveraged property cash flow (NOI less interest) divided by stabilized equity market cap.</t>
  </si>
  <si>
    <t xml:space="preserve">Annual NOI ($M): CPT property net operating income, twelve months (see CPT tab mapping notes).</t>
  </si>
  <si>
    <t xml:space="preserve">CRE42 Multifamily REIT Composite (AVB, MAA, CPT): Annualized Financial Model</t>
  </si>
  <si>
    <t xml:space="preserve">This tab is a synthetic composite of the AVB, MAA and CPT tabs, weighted by each REIT's stabilized TEV per fiscal year (weights block below), identical in method to the CRE42 industrial and office composites. Every level column is the TEV-weighted average of the three per-REIT columns; calculation columns (D, G, J, K, O, P, Q, V, Z-AC) apply the standard formulas to the weighted levels, so the composite reads like a single mid-sized multifamily REIT. Sanity identity: NOI / Stabilized TEV equals the implied cap rate column by construction. NOTE: the AVB/EQR merger (announced 2026-05-21, expected close H2 2026) is a known terminal event; this composite will be rebuilt with a new lineup after close. See the Sources tab decision trail.</t>
  </si>
  <si>
    <t xml:space="preserve">Composite Annual Financial Grid</t>
  </si>
  <si>
    <t xml:space="preserve">TEV-WTD</t>
  </si>
  <si>
    <t xml:space="preserve">DERIVED</t>
  </si>
  <si>
    <t xml:space="preserve">Same-Store Avg Occupancy, Full Year (%) (mixed bases, see Sources)</t>
  </si>
  <si>
    <t xml:space="preserve">Composite Methodology</t>
  </si>
  <si>
    <t xml:space="preserve">Weights = each REIT's Stabilized TEV (per-REIT column Q) divided by the combined Stabilized TEV, per fiscal year (block below). Identical method to the industrial and office composites; AVB carries roughly 45-50% weight, MAA ~30%, CPT ~20-25% - materially less lopsided than the office composite's BXP dominance.</t>
  </si>
  <si>
    <t xml:space="preserve">Share price (E) is not averaged directly: it is derived as weighted market cap divided by weighted shares, so G = E x F holds.</t>
  </si>
  <si>
    <t xml:space="preserve">U aggregates each company's own recurring-capex measure (CPT/MAA recurring capitalized expenditures; AVB Asset Preservation Capex) - definitions differ by company, documented on each tab; V = R - U.</t>
  </si>
  <si>
    <t xml:space="preserve">AD (blended lease rate growth) is TEV-weighted only for years where all three REITs disclose a figure (2020, 2021, 2023, 2024, 2025); n/d otherwise. Bases are mixed (MAA twelve-month; CPT/AVB Q4 date-effective) - flagged. AE mixes physical (MAA, CPT) and economic (AVB) occupancy - flagged.</t>
  </si>
  <si>
    <t xml:space="preserve">Sanity identity: Z = B/Q, so composite NOI / Stabilized TEV equals the implied cap rate column by construction; verify the level columns against the per-REIT source grids below after any edit.</t>
  </si>
  <si>
    <t xml:space="preserve">AVB/EQR merger (announced 2026-05-21) is a known terminal event for this composite; rebuild with a new lineup after close.</t>
  </si>
  <si>
    <t xml:space="preserve">TEV Weights by Fiscal Year  (weight = each REIT's Stabilized TEV / combined Stabilized TEV)</t>
  </si>
  <si>
    <t xml:space="preserve">AVB Stab TEV ($M)</t>
  </si>
  <si>
    <t xml:space="preserve">MAA Stab TEV ($M)</t>
  </si>
  <si>
    <t xml:space="preserve">CPT Stab TEV ($M)</t>
  </si>
  <si>
    <t xml:space="preserve">Combined Stab TEV ($M)</t>
  </si>
  <si>
    <t xml:space="preserve">w(AVB)</t>
  </si>
  <si>
    <t xml:space="preserve">w(MAA)</t>
  </si>
  <si>
    <t xml:space="preserve">w(CPT)</t>
  </si>
  <si>
    <t xml:space="preserve">Source Grids: live mirror of AVB, MAA, CPT tabs (for QC; columns A-AE)</t>
  </si>
  <si>
    <t xml:space="preserve">AVB (source)</t>
  </si>
  <si>
    <t xml:space="preserve">MAA (source)</t>
  </si>
  <si>
    <t xml:space="preserve">CPT (source)</t>
  </si>
  <si>
    <t xml:space="preserve">H/I REDEFINITION (Chip decision 2026-07-24): weighted H is land held for development only (CPT contributes 0; see CPT tab note); weighted I is development/CIP. Operating land is no longer deducted from stabilized market cap or TEV, which lowers every implied cap rate and raises every multiple vs the prior build.</t>
  </si>
  <si>
    <t xml:space="preserve">Composite vs. Market: Public-Market Pricing Against Multifamily Fundamentals (2016-2025)</t>
  </si>
  <si>
    <t xml:space="preserve">All cells derived by formula from the Composite, 10 YR UST, Prime Rate, Inflation, Costar - US Multifamily and Green Street National tabs; no hardcoded data. Sources and vintages on the Sources tab.</t>
  </si>
  <si>
    <t xml:space="preserve">Composite Stabilized Implied Cap Rate (%)</t>
  </si>
  <si>
    <t xml:space="preserve">Composite Stabilized Leveraged Equity Yield (%)</t>
  </si>
  <si>
    <t xml:space="preserve">Composite Stabilized Implied Cap Rate (%): Annual NOI divided by Stabilized TEV (equity market cap less development and land, plus total property debt). CRE42-defined measure from the Composite tab.</t>
  </si>
  <si>
    <t xml:space="preserve">Composite Stabilized Leveraged Equity Yield (%): leveraged property cash flow (NOI less interest) divided by stabilized equity market cap.</t>
  </si>
  <si>
    <t xml:space="preserve">Annual NOI ($M): Composite property net operating income, twelve months (see Composite tab mapping notes).</t>
  </si>
  <si>
    <t xml:space="preserve">Period</t>
  </si>
  <si>
    <t xml:space="preserve">Inventory Units</t>
  </si>
  <si>
    <t xml:space="preserve">Net Delivered Units</t>
  </si>
  <si>
    <t xml:space="preserve">Construction Starts</t>
  </si>
  <si>
    <t xml:space="preserve">Net Absorption Units</t>
  </si>
  <si>
    <t xml:space="preserve">Vacancy Rate</t>
  </si>
  <si>
    <t xml:space="preserve">Stabilized Vacancy</t>
  </si>
  <si>
    <t xml:space="preserve">Market Asking Rent/Unit</t>
  </si>
  <si>
    <t xml:space="preserve">Market Asking Rent Growth</t>
  </si>
  <si>
    <t xml:space="preserve">Under Constr Units</t>
  </si>
  <si>
    <t xml:space="preserve">Under Constr % of Inventory</t>
  </si>
  <si>
    <t xml:space="preserve">Market Sale Price/Unit</t>
  </si>
  <si>
    <t xml:space="preserve">Market Cap Rate</t>
  </si>
  <si>
    <t xml:space="preserve">2026 YTD</t>
  </si>
  <si>
    <t xml:space="preserve">2026 EST</t>
  </si>
  <si>
    <t xml:space="preserve">Source: CoStar, US Multifamily national annual series, export 'CoStar Markets MF Annual 07.24.26.xlsx' (pulled July 2026). 2026 EST/YTD and 2027-2031 are CoStar estimates/forecasts. Net Delivered Units uses the export's 'Net Delivered Units' column (12-mo trailing where the annual figure is absent).</t>
  </si>
  <si>
    <t xml:space="preserve">Green Street Apartment: National (50-Market Weighted Average), Standardized Download, pulled July 2026</t>
  </si>
  <si>
    <t xml:space="preserve">Source: Green Street Standardized Downloads (Apartment): Supply Growth, Market-RevPAF Growth, Market Cap Rates (4Q of each year), CPPI (4Q of each year; 2016 = 100 rebase). Actuals through 2025; 2026-2030 Green Street forecasts. 'Weighted Average' row of each download.</t>
  </si>
  <si>
    <t xml:space="preserve">Year</t>
  </si>
  <si>
    <t xml:space="preserve">Supply Growth (%)</t>
  </si>
  <si>
    <t xml:space="preserve">Market-RevPAF Growth (%)</t>
  </si>
  <si>
    <t xml:space="preserve">Nominal Cap Rate, 4Q (%)</t>
  </si>
  <si>
    <t xml:space="preserve">CPPI, 4Q</t>
  </si>
  <si>
    <t xml:space="preserve">CPPI (2016 = 100)</t>
  </si>
  <si>
    <t xml:space="preserve">Period Type</t>
  </si>
  <si>
    <t xml:space="preserve">Supply Growth, Actual (%)</t>
  </si>
  <si>
    <t xml:space="preserve">Supply Growth, Green Street Forecast (%)</t>
  </si>
  <si>
    <t xml:space="preserve">Actual</t>
  </si>
  <si>
    <t xml:space="preserve">Forecast</t>
  </si>
  <si>
    <t xml:space="preserve">Inflation: CPI vs. Non-Residential Construction Costs (annual averages)</t>
  </si>
  <si>
    <t xml:space="preserve">Source: FRED, annual frequency (annual averages), downloaded 2026-07-05. WPU801 = PPI, New Nonresidential Building Construction; CPIAUCSL = CPI, All Urban Consumers.</t>
  </si>
  <si>
    <t xml:space="preserve">WPU801 (PPI, Nonres Construction)</t>
  </si>
  <si>
    <t xml:space="preserve">CPIAUCSL (CPI)</t>
  </si>
  <si>
    <t xml:space="preserve">Construction PPI, YoY (%)</t>
  </si>
  <si>
    <t xml:space="preserve">Observations are FRED annual-frequency values (annual averages) dated January 1 of each year in the source download.</t>
  </si>
  <si>
    <t xml:space="preserve">observation_date</t>
  </si>
  <si>
    <t xml:space="preserve">DGS10</t>
  </si>
  <si>
    <t xml:space="preserve">MPRIME: Bank Prime Loan Rate (%, annual, NSA)</t>
  </si>
  <si>
    <t xml:space="preserve">Source: FRED series MPRIME, Board of Governors of the Federal Reserve System (US); annual, not seasonally adjusted; downloaded 2026-07-04.</t>
  </si>
</sst>
</file>

<file path=xl/styles.xml><?xml version="1.0" encoding="utf-8"?>
<styleSheet xmlns="http://schemas.openxmlformats.org/spreadsheetml/2006/main">
  <numFmts count="13">
    <numFmt numFmtId="164" formatCode="General"/>
    <numFmt numFmtId="165" formatCode="#,##0"/>
    <numFmt numFmtId="166" formatCode="0.00"/>
    <numFmt numFmtId="167" formatCode="0.000"/>
    <numFmt numFmtId="168" formatCode="0.00%"/>
    <numFmt numFmtId="169" formatCode="0.0\x"/>
    <numFmt numFmtId="170" formatCode="0.0"/>
    <numFmt numFmtId="171" formatCode="0.0%"/>
    <numFmt numFmtId="172" formatCode="0"/>
    <numFmt numFmtId="173" formatCode="\$0.00"/>
    <numFmt numFmtId="174" formatCode="0%"/>
    <numFmt numFmtId="175" formatCode="#,##0.0"/>
    <numFmt numFmtId="176" formatCode="#,##0.00"/>
  </numFmts>
  <fonts count="18">
    <font>
      <sz val="11"/>
      <color theme="1"/>
      <name val="Calibri"/>
      <family val="2"/>
      <charset val="1"/>
    </font>
    <font>
      <sz val="10"/>
      <name val="Arial"/>
      <family val="0"/>
    </font>
    <font>
      <sz val="10"/>
      <name val="Arial"/>
      <family val="0"/>
    </font>
    <font>
      <sz val="10"/>
      <name val="Arial"/>
      <family val="0"/>
    </font>
    <font>
      <b val="true"/>
      <sz val="10"/>
      <name val="Arial"/>
      <family val="0"/>
      <charset val="1"/>
    </font>
    <font>
      <sz val="10"/>
      <name val="Arial"/>
      <family val="0"/>
      <charset val="1"/>
    </font>
    <font>
      <b val="true"/>
      <sz val="12"/>
      <name val="Arial"/>
      <family val="0"/>
      <charset val="1"/>
    </font>
    <font>
      <b val="true"/>
      <sz val="9"/>
      <name val="Arial"/>
      <family val="0"/>
      <charset val="1"/>
    </font>
    <font>
      <sz val="10"/>
      <color rgb="FF0000FF"/>
      <name val="Arial"/>
      <family val="0"/>
      <charset val="1"/>
    </font>
    <font>
      <sz val="9"/>
      <name val="Arial"/>
      <family val="0"/>
      <charset val="1"/>
    </font>
    <font>
      <b val="true"/>
      <sz val="12"/>
      <color rgb="FF000000"/>
      <name val="Calibri"/>
      <family val="2"/>
    </font>
    <font>
      <sz val="10"/>
      <color rgb="FF000000"/>
      <name val="Calibri"/>
      <family val="2"/>
    </font>
    <font>
      <b val="true"/>
      <sz val="18"/>
      <color rgb="FF000000"/>
      <name val="Calibri"/>
      <family val="2"/>
    </font>
    <font>
      <b val="true"/>
      <sz val="10"/>
      <color rgb="FF000000"/>
      <name val="Calibri"/>
      <family val="2"/>
    </font>
    <font>
      <sz val="9"/>
      <color rgb="FF404040"/>
      <name val="Times New Roman"/>
      <family val="0"/>
    </font>
    <font>
      <b val="true"/>
      <sz val="11"/>
      <name val="Cambria"/>
      <family val="0"/>
      <charset val="1"/>
    </font>
    <font>
      <sz val="11"/>
      <name val="Calibri"/>
      <family val="0"/>
      <charset val="1"/>
    </font>
    <font>
      <b val="true"/>
      <sz val="11"/>
      <name val="Calibri"/>
      <family val="0"/>
      <charset val="1"/>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2">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5" fillId="0" borderId="0" xfId="0" applyFont="true" applyBorder="false" applyAlignment="true" applyProtection="true">
      <alignment horizontal="general" vertical="top" textRotation="0" wrapText="true" indent="0" shrinkToFit="false"/>
      <protection locked="true" hidden="false"/>
    </xf>
    <xf numFmtId="164" fontId="6" fillId="0" borderId="0" xfId="0" applyFont="true" applyBorder="false" applyAlignment="true" applyProtection="true">
      <alignment horizontal="general"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7" fillId="0" borderId="0" xfId="0" applyFont="true" applyBorder="false" applyAlignment="true" applyProtection="true">
      <alignment horizontal="general" vertical="bottom" textRotation="0" wrapText="true" indent="0" shrinkToFit="false"/>
      <protection locked="true" hidden="false"/>
    </xf>
    <xf numFmtId="164" fontId="7" fillId="0" borderId="0" xfId="0" applyFont="true" applyBorder="false" applyAlignment="true" applyProtection="true">
      <alignment horizontal="general" vertical="bottom" textRotation="0" wrapText="false" indent="0" shrinkToFit="false"/>
      <protection locked="true" hidden="false"/>
    </xf>
    <xf numFmtId="164" fontId="7" fillId="0" borderId="0" xfId="0" applyFont="true" applyBorder="false" applyAlignment="true" applyProtection="true">
      <alignment horizontal="general" vertical="top" textRotation="0" wrapText="true" indent="0" shrinkToFit="false"/>
      <protection locked="true" hidden="false"/>
    </xf>
    <xf numFmtId="165" fontId="5" fillId="0" borderId="0" xfId="0" applyFont="true" applyBorder="false" applyAlignment="true" applyProtection="true">
      <alignment horizontal="general" vertical="bottom" textRotation="0" wrapText="false" indent="0" shrinkToFit="false"/>
      <protection locked="true" hidden="false"/>
    </xf>
    <xf numFmtId="166" fontId="8" fillId="0" borderId="0" xfId="0" applyFont="true" applyBorder="false" applyAlignment="true" applyProtection="true">
      <alignment horizontal="general" vertical="bottom" textRotation="0" wrapText="false" indent="0" shrinkToFit="false"/>
      <protection locked="true" hidden="false"/>
    </xf>
    <xf numFmtId="167" fontId="5" fillId="0" borderId="0" xfId="0" applyFont="true" applyBorder="false" applyAlignment="true" applyProtection="true">
      <alignment horizontal="general" vertical="bottom" textRotation="0" wrapText="false" indent="0" shrinkToFit="false"/>
      <protection locked="true" hidden="false"/>
    </xf>
    <xf numFmtId="165" fontId="8" fillId="0" borderId="0" xfId="0" applyFont="true" applyBorder="false" applyAlignment="true" applyProtection="true">
      <alignment horizontal="general" vertical="bottom" textRotation="0" wrapText="false" indent="0" shrinkToFit="false"/>
      <protection locked="true" hidden="false"/>
    </xf>
    <xf numFmtId="168" fontId="5" fillId="0" borderId="0" xfId="0" applyFont="true" applyBorder="false" applyAlignment="true" applyProtection="true">
      <alignment horizontal="general" vertical="bottom" textRotation="0" wrapText="false" indent="0" shrinkToFit="false"/>
      <protection locked="true" hidden="false"/>
    </xf>
    <xf numFmtId="169" fontId="5" fillId="0" borderId="0" xfId="0" applyFont="true" applyBorder="false" applyAlignment="true" applyProtection="true">
      <alignment horizontal="general" vertical="bottom" textRotation="0" wrapText="false" indent="0" shrinkToFit="false"/>
      <protection locked="true" hidden="false"/>
    </xf>
    <xf numFmtId="168" fontId="8" fillId="0" borderId="0" xfId="0" applyFont="true" applyBorder="false" applyAlignment="true" applyProtection="true">
      <alignment horizontal="general" vertical="bottom" textRotation="0" wrapText="false" indent="0" shrinkToFit="false"/>
      <protection locked="true" hidden="false"/>
    </xf>
    <xf numFmtId="164" fontId="8" fillId="0" borderId="0" xfId="0" applyFont="true" applyBorder="false" applyAlignment="true" applyProtection="true">
      <alignment horizontal="general" vertical="bottom" textRotation="0" wrapText="false" indent="0" shrinkToFit="false"/>
      <protection locked="true" hidden="false"/>
    </xf>
    <xf numFmtId="164" fontId="9" fillId="0" borderId="0" xfId="0" applyFont="true" applyBorder="false" applyAlignment="true" applyProtection="true">
      <alignment horizontal="general" vertical="bottom" textRotation="0" wrapText="false" indent="0" shrinkToFit="false"/>
      <protection locked="true" hidden="false"/>
    </xf>
    <xf numFmtId="170" fontId="5" fillId="0" borderId="0" xfId="0" applyFont="true" applyBorder="false" applyAlignment="true" applyProtection="true">
      <alignment horizontal="general" vertical="bottom" textRotation="0" wrapText="false" indent="0" shrinkToFit="false"/>
      <protection locked="true" hidden="false"/>
    </xf>
    <xf numFmtId="171" fontId="5" fillId="0" borderId="0" xfId="0" applyFont="true" applyBorder="false" applyAlignment="true" applyProtection="true">
      <alignment horizontal="general" vertical="bottom" textRotation="0" wrapText="false" indent="0" shrinkToFit="false"/>
      <protection locked="true" hidden="false"/>
    </xf>
    <xf numFmtId="175" fontId="8" fillId="0" borderId="0" xfId="0" applyFont="true" applyBorder="false" applyAlignment="true" applyProtection="true">
      <alignment horizontal="general" vertical="bottom" textRotation="0" wrapText="false" indent="0" shrinkToFit="false"/>
      <protection locked="true" hidden="false"/>
    </xf>
    <xf numFmtId="166" fontId="5" fillId="0" borderId="0" xfId="0" applyFont="true" applyBorder="false" applyAlignment="true" applyProtection="true">
      <alignment horizontal="general" vertical="bottom" textRotation="0" wrapText="false" indent="0" shrinkToFit="false"/>
      <protection locked="true" hidden="false"/>
    </xf>
    <xf numFmtId="175" fontId="5" fillId="0" borderId="0" xfId="0" applyFont="true" applyBorder="false" applyAlignment="true" applyProtection="true">
      <alignment horizontal="general" vertical="bottom" textRotation="0" wrapText="false" indent="0" shrinkToFit="false"/>
      <protection locked="true" hidden="false"/>
    </xf>
    <xf numFmtId="176" fontId="8" fillId="0" borderId="0" xfId="0" applyFont="true" applyBorder="false" applyAlignment="true" applyProtection="true">
      <alignment horizontal="general" vertical="bottom" textRotation="0" wrapText="false" indent="0" shrinkToFit="false"/>
      <protection locked="true" hidden="false"/>
    </xf>
    <xf numFmtId="164" fontId="15" fillId="0" borderId="0" xfId="0" applyFont="true" applyBorder="false" applyAlignment="true" applyProtection="true">
      <alignment horizontal="general" vertical="bottom" textRotation="0" wrapText="false" indent="0" shrinkToFit="false"/>
      <protection locked="true" hidden="false"/>
    </xf>
    <xf numFmtId="164" fontId="16" fillId="0" borderId="0" xfId="0" applyFont="true" applyBorder="false" applyAlignment="true" applyProtection="true">
      <alignment horizontal="general" vertical="bottom" textRotation="0" wrapText="false" indent="0" shrinkToFit="false"/>
      <protection locked="true" hidden="false"/>
    </xf>
    <xf numFmtId="167" fontId="16" fillId="0" borderId="0" xfId="0" applyFont="true" applyBorder="false" applyAlignment="true" applyProtection="true">
      <alignment horizontal="general" vertical="bottom" textRotation="0" wrapText="false" indent="0" shrinkToFit="false"/>
      <protection locked="true" hidden="false"/>
    </xf>
    <xf numFmtId="170" fontId="16" fillId="0" borderId="0" xfId="0" applyFont="true" applyBorder="false" applyAlignment="true" applyProtection="true">
      <alignment horizontal="general" vertical="bottom" textRotation="0" wrapText="false" indent="0" shrinkToFit="false"/>
      <protection locked="true" hidden="false"/>
    </xf>
    <xf numFmtId="171" fontId="16" fillId="0" borderId="0" xfId="0" applyFont="true" applyBorder="false" applyAlignment="true" applyProtection="true">
      <alignment horizontal="general" vertical="bottom" textRotation="0" wrapText="false" indent="0" shrinkToFit="false"/>
      <protection locked="true" hidden="false"/>
    </xf>
    <xf numFmtId="164" fontId="17" fillId="0" borderId="0" xfId="0" applyFont="true" applyBorder="false" applyAlignment="true" applyProtection="true">
      <alignment horizontal="general" vertical="bottom" textRotation="0" wrapText="false" indent="0" shrinkToFit="false"/>
      <protection locked="true" hidden="false"/>
    </xf>
    <xf numFmtId="172" fontId="16" fillId="0" borderId="0" xfId="0" applyFont="true" applyBorder="false" applyAlignment="true" applyProtection="true">
      <alignment horizontal="general" vertical="bottom" textRotation="0" wrapText="false" indent="0" shrinkToFit="false"/>
      <protection locked="true" hidden="false"/>
    </xf>
    <xf numFmtId="166" fontId="16" fillId="0" borderId="0" xfId="0" applyFont="true" applyBorder="false" applyAlignment="true" applyProtection="tru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C08A00"/>
      <rgbColor rgb="FF800080"/>
      <rgbColor rgb="FF008080"/>
      <rgbColor rgb="FFB3B3B3"/>
      <rgbColor rgb="FF8A8A8A"/>
      <rgbColor rgb="FF9DBB9D"/>
      <rgbColor rgb="FFA31F34"/>
      <rgbColor rgb="FFFFFFCC"/>
      <rgbColor rgb="FFCCFFFF"/>
      <rgbColor rgb="FF660066"/>
      <rgbColor rgb="FFB87B85"/>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A9BCD1"/>
      <rgbColor rgb="FFD9A0A8"/>
      <rgbColor rgb="FFCC99FF"/>
      <rgbColor rgb="FFFFCC99"/>
      <rgbColor rgb="FF3366FF"/>
      <rgbColor rgb="FF33CCCC"/>
      <rgbColor rgb="FF99CC00"/>
      <rgbColor rgb="FFFFCC00"/>
      <rgbColor rgb="FFFF9900"/>
      <rgbColor rgb="FFFF6600"/>
      <rgbColor rgb="FF666699"/>
      <rgbColor rgb="FF7A9A7A"/>
      <rgbColor rgb="FF1F3B57"/>
      <rgbColor rgb="FF339966"/>
      <rgbColor rgb="FF003300"/>
      <rgbColor rgb="FF404040"/>
      <rgbColor rgb="FF993300"/>
      <rgbColor rgb="FF993366"/>
      <rgbColor rgb="FF333399"/>
      <rgbColor rgb="FF3A3A3A"/>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worksheet" Target="worksheets/sheet14.xml"/><Relationship Id="rId17" Type="http://schemas.openxmlformats.org/officeDocument/2006/relationships/sharedStrings" Target="sharedStrings.xml"/>
</Relationships>
</file>

<file path=xl/charts/chart1.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Operating Fundamentals: CoStar Market Asking Rent ($/Unit) (2016-2025)</a:t>
            </a:r>
          </a:p>
        </c:rich>
      </c:tx>
      <c:overlay val="0"/>
      <c:spPr>
        <a:noFill/>
        <a:ln w="0">
          <a:noFill/>
        </a:ln>
      </c:spPr>
    </c:title>
    <c:autoTitleDeleted val="0"/>
    <c:plotArea>
      <c:layout>
        <c:manualLayout>
          <c:layoutTarget val="inner"/>
          <c:xMode val="edge"/>
          <c:yMode val="edge"/>
          <c:x val="0.100043050634169"/>
          <c:y val="0.16016016016016"/>
          <c:w val="0.799450276517535"/>
          <c:h val="0.61961961961962"/>
        </c:manualLayout>
      </c:layout>
      <c:scatterChart>
        <c:scatterStyle val="lineMarker"/>
        <c:varyColors val="0"/>
        <c:ser>
          <c:idx val="0"/>
          <c:order val="0"/>
          <c:tx>
            <c:strRef>
              <c:f>"CoStar Market Asking Rent ($/Unit)"</c:f>
              <c:strCache>
                <c:ptCount val="1"/>
                <c:pt idx="0">
                  <c:v>CoStar Market Asking Rent ($/Unit)</c:v>
                </c:pt>
              </c:strCache>
            </c:strRef>
          </c:tx>
          <c:spPr>
            <a:solidFill>
              <a:srgbClr val="1f3b57"/>
            </a:solidFill>
            <a:ln w="28440">
              <a:solidFill>
                <a:srgbClr val="1f3b57"/>
              </a:solidFill>
              <a:round/>
            </a:ln>
          </c:spPr>
          <c:marker>
            <c:symbol val="circle"/>
            <c:size val="5"/>
            <c:spPr>
              <a:solidFill>
                <a:srgbClr val="1f3b57"/>
              </a:solidFill>
            </c:spPr>
          </c:marker>
          <c:dPt>
            <c:idx val="0"/>
            <c:marker>
              <c:symbol val="circle"/>
              <c:size val="5"/>
              <c:spPr>
                <a:solidFill>
                  <a:srgbClr val="1f3b57"/>
                </a:solidFill>
              </c:spPr>
            </c:marker>
          </c:dPt>
          <c:dPt>
            <c:idx val="1"/>
            <c:marker>
              <c:symbol val="circle"/>
              <c:size val="5"/>
              <c:spPr>
                <a:solidFill>
                  <a:srgbClr val="1f3b57"/>
                </a:solidFill>
              </c:spPr>
            </c:marker>
          </c:dPt>
          <c:dPt>
            <c:idx val="2"/>
            <c:marker>
              <c:symbol val="circle"/>
              <c:size val="5"/>
              <c:spPr>
                <a:solidFill>
                  <a:srgbClr val="1f3b57"/>
                </a:solidFill>
              </c:spPr>
            </c:marker>
          </c:dPt>
          <c:dPt>
            <c:idx val="3"/>
            <c:marker>
              <c:symbol val="circle"/>
              <c:size val="5"/>
              <c:spPr>
                <a:solidFill>
                  <a:srgbClr val="1f3b57"/>
                </a:solidFill>
              </c:spPr>
            </c:marker>
          </c:dPt>
          <c:dPt>
            <c:idx val="4"/>
            <c:marker>
              <c:symbol val="circle"/>
              <c:size val="5"/>
              <c:spPr>
                <a:solidFill>
                  <a:srgbClr val="1f3b57"/>
                </a:solidFill>
              </c:spPr>
            </c:marker>
          </c:dPt>
          <c:dPt>
            <c:idx val="5"/>
            <c:marker>
              <c:symbol val="circle"/>
              <c:size val="5"/>
              <c:spPr>
                <a:solidFill>
                  <a:srgbClr val="1f3b57"/>
                </a:solidFill>
              </c:spPr>
            </c:marker>
          </c:dPt>
          <c:dPt>
            <c:idx val="6"/>
            <c:marker>
              <c:symbol val="circle"/>
              <c:size val="5"/>
              <c:spPr>
                <a:solidFill>
                  <a:srgbClr val="1f3b57"/>
                </a:solidFill>
              </c:spPr>
            </c:marker>
          </c:dPt>
          <c:dPt>
            <c:idx val="7"/>
            <c:marker>
              <c:symbol val="circle"/>
              <c:size val="5"/>
              <c:spPr>
                <a:solidFill>
                  <a:srgbClr val="1f3b57"/>
                </a:solidFill>
              </c:spPr>
            </c:marker>
          </c:dPt>
          <c:dPt>
            <c:idx val="8"/>
            <c:marker>
              <c:symbol val="circle"/>
              <c:size val="5"/>
              <c:spPr>
                <a:solidFill>
                  <a:srgbClr val="1f3b57"/>
                </a:solidFill>
              </c:spPr>
            </c:marker>
          </c:dPt>
          <c:dPt>
            <c:idx val="9"/>
            <c:marker>
              <c:symbol val="circle"/>
              <c:size val="5"/>
              <c:spPr>
                <a:solidFill>
                  <a:srgbClr val="1f3b57"/>
                </a:solidFill>
              </c:spPr>
            </c:marker>
          </c:dPt>
          <c:dLbls>
            <c:dLbl>
              <c:idx val="0"/>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1"/>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2"/>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3"/>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4"/>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5"/>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6"/>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7"/>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8"/>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9"/>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'AVB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'AVB vs Market'!$AA$4:$AA$13</c:f>
              <c:numCache>
                <c:formatCode>#,##0</c:formatCode>
                <c:ptCount val="10"/>
                <c:pt idx="0">
                  <c:v>1376.36653028372</c:v>
                </c:pt>
                <c:pt idx="1">
                  <c:v>1413.54736229744</c:v>
                </c:pt>
                <c:pt idx="2">
                  <c:v>1455.35257948066</c:v>
                </c:pt>
                <c:pt idx="3">
                  <c:v>1492.51299863927</c:v>
                </c:pt>
                <c:pt idx="4">
                  <c:v>1515.03157803764</c:v>
                </c:pt>
                <c:pt idx="5">
                  <c:v>1648.60423459865</c:v>
                </c:pt>
                <c:pt idx="6">
                  <c:v>1714.73423795083</c:v>
                </c:pt>
                <c:pt idx="7">
                  <c:v>1737.18200077721</c:v>
                </c:pt>
                <c:pt idx="8">
                  <c:v>1758.30089224859</c:v>
                </c:pt>
                <c:pt idx="9">
                  <c:v>1765.86107725045</c:v>
                </c:pt>
              </c:numCache>
            </c:numRef>
          </c:yVal>
          <c:smooth val="0"/>
        </c:ser>
        <c:axId val="65412018"/>
        <c:axId val="19543254"/>
      </c:scatterChart>
      <c:valAx>
        <c:axId val="65412018"/>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19543254"/>
        <c:crosses val="autoZero"/>
        <c:crossBetween val="midCat"/>
        <c:majorUnit val="1"/>
      </c:valAx>
      <c:valAx>
        <c:axId val="19543254"/>
        <c:scaling>
          <c:orientation val="minMax"/>
        </c:scaling>
        <c:delete val="0"/>
        <c:axPos val="l"/>
        <c:majorGridlines>
          <c:spPr>
            <a:ln w="0">
              <a:solidFill>
                <a:srgbClr val="b3b3b3"/>
              </a:solidFill>
            </a:ln>
          </c:spPr>
        </c:majorGridlines>
        <c:numFmt formatCode="\$0.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65412018"/>
        <c:crosses val="autoZero"/>
        <c:crossBetween val="midCat"/>
      </c:valAx>
      <c:spPr>
        <a:noFill/>
        <a:ln w="0">
          <a:noFill/>
        </a:ln>
      </c:spPr>
    </c:plotArea>
    <c:plotVisOnly val="1"/>
    <c:dispBlanksAs val="gap"/>
  </c:chart>
  <c:spPr>
    <a:solidFill>
      <a:srgbClr val="ffffff"/>
    </a:solidFill>
    <a:ln w="9360">
      <a:solidFill>
        <a:srgbClr val="d9d9d9"/>
      </a:solidFill>
      <a:round/>
    </a:ln>
  </c:spPr>
</c:chartSpace>
</file>

<file path=xl/charts/chart10.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Market Asking Rent and Occupancy (2016-2025)
Left axis: CoStar market asking rent, $/Unit. Right axis: occupancy (100% less vacancy).</a:t>
            </a:r>
          </a:p>
        </c:rich>
      </c:tx>
      <c:overlay val="0"/>
      <c:spPr>
        <a:noFill/>
        <a:ln w="0">
          <a:noFill/>
        </a:ln>
      </c:spPr>
    </c:title>
    <c:autoTitleDeleted val="0"/>
    <c:plotArea>
      <c:layout>
        <c:manualLayout>
          <c:layoutTarget val="inner"/>
          <c:xMode val="edge"/>
          <c:yMode val="edge"/>
          <c:x val="0.100043050634169"/>
          <c:y val="0.16016016016016"/>
          <c:w val="0.799450276517535"/>
          <c:h val="0.61961961961962"/>
        </c:manualLayout>
      </c:layout>
      <c:scatterChart>
        <c:scatterStyle val="lineMarker"/>
        <c:varyColors val="0"/>
        <c:ser>
          <c:idx val="0"/>
          <c:order val="0"/>
          <c:tx>
            <c:strRef>
              <c:f>"CoStar Market Asking Rent ($/Unit, left)"</c:f>
              <c:strCache>
                <c:ptCount val="1"/>
                <c:pt idx="0">
                  <c:v>CoStar Market Asking Rent ($/Unit, left)</c:v>
                </c:pt>
              </c:strCache>
            </c:strRef>
          </c:tx>
          <c:spPr>
            <a:solidFill>
              <a:srgbClr val="a31f34"/>
            </a:solidFill>
            <a:ln w="28440">
              <a:solidFill>
                <a:srgbClr val="a31f34"/>
              </a:solidFill>
              <a:round/>
            </a:ln>
          </c:spPr>
          <c:marker>
            <c:symbol val="circle"/>
            <c:size val="5"/>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'AVB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'AVB vs Market'!$AA$4:$AA$13</c:f>
              <c:numCache>
                <c:formatCode>#,##0</c:formatCode>
                <c:ptCount val="10"/>
                <c:pt idx="0">
                  <c:v>1376.36653028372</c:v>
                </c:pt>
                <c:pt idx="1">
                  <c:v>1413.54736229744</c:v>
                </c:pt>
                <c:pt idx="2">
                  <c:v>1455.35257948066</c:v>
                </c:pt>
                <c:pt idx="3">
                  <c:v>1492.51299863927</c:v>
                </c:pt>
                <c:pt idx="4">
                  <c:v>1515.03157803764</c:v>
                </c:pt>
                <c:pt idx="5">
                  <c:v>1648.60423459865</c:v>
                </c:pt>
                <c:pt idx="6">
                  <c:v>1714.73423795083</c:v>
                </c:pt>
                <c:pt idx="7">
                  <c:v>1737.18200077721</c:v>
                </c:pt>
                <c:pt idx="8">
                  <c:v>1758.30089224859</c:v>
                </c:pt>
                <c:pt idx="9">
                  <c:v>1765.86107725045</c:v>
                </c:pt>
              </c:numCache>
            </c:numRef>
          </c:yVal>
          <c:smooth val="0"/>
        </c:ser>
        <c:axId val="98286030"/>
        <c:axId val="84985935"/>
      </c:scatterChart>
      <c:scatterChart>
        <c:scatterStyle val="lineMarker"/>
        <c:varyColors val="0"/>
        <c:ser>
          <c:idx val="1"/>
          <c:order val="1"/>
          <c:tx>
            <c:strRef>
              <c:f>"CoStar National Occupancy (right)"</c:f>
              <c:strCache>
                <c:ptCount val="1"/>
                <c:pt idx="0">
                  <c:v>CoStar National Occupancy (right)</c:v>
                </c:pt>
              </c:strCache>
            </c:strRef>
          </c:tx>
          <c:spPr>
            <a:solidFill>
              <a:srgbClr val="8a8a8a"/>
            </a:solidFill>
            <a:ln w="28440">
              <a:solidFill>
                <a:srgbClr val="8a8a8a"/>
              </a:solidFill>
              <a:prstDash val="dash"/>
              <a:round/>
            </a:ln>
          </c:spPr>
          <c:marker>
            <c:symbol val="diamond"/>
            <c:size val="4"/>
            <c:spPr>
              <a:solidFill>
                <a:srgbClr val="8a8a8a"/>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'AVB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'AVB vs Market'!$AB$4:$AB$13</c:f>
              <c:numCache>
                <c:formatCode>0.0%</c:formatCode>
                <c:ptCount val="10"/>
                <c:pt idx="0">
                  <c:v>0.933800252657227</c:v>
                </c:pt>
                <c:pt idx="1">
                  <c:v>0.931740924330767</c:v>
                </c:pt>
                <c:pt idx="2">
                  <c:v>0.934208294008667</c:v>
                </c:pt>
                <c:pt idx="3">
                  <c:v>0.933908627107305</c:v>
                </c:pt>
                <c:pt idx="4">
                  <c:v>0.932243901314361</c:v>
                </c:pt>
                <c:pt idx="5">
                  <c:v>0.948838109682052</c:v>
                </c:pt>
                <c:pt idx="6">
                  <c:v>0.934067346552357</c:v>
                </c:pt>
                <c:pt idx="7">
                  <c:v>0.922036331657417</c:v>
                </c:pt>
                <c:pt idx="8">
                  <c:v>0.916767915226356</c:v>
                </c:pt>
                <c:pt idx="9">
                  <c:v>0.915292446721569</c:v>
                </c:pt>
              </c:numCache>
            </c:numRef>
          </c:yVal>
          <c:smooth val="0"/>
        </c:ser>
        <c:axId val="52331744"/>
        <c:axId val="77892297"/>
      </c:scatterChart>
      <c:valAx>
        <c:axId val="98286030"/>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84985935"/>
        <c:crosses val="autoZero"/>
        <c:crossBetween val="midCat"/>
        <c:majorUnit val="1"/>
      </c:valAx>
      <c:valAx>
        <c:axId val="84985935"/>
        <c:scaling>
          <c:orientation val="minMax"/>
        </c:scaling>
        <c:delete val="0"/>
        <c:axPos val="l"/>
        <c:majorGridlines>
          <c:spPr>
            <a:ln w="0">
              <a:solidFill>
                <a:srgbClr val="b3b3b3"/>
              </a:solidFill>
            </a:ln>
          </c:spPr>
        </c:majorGridlines>
        <c:numFmt formatCode="\$0.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98286030"/>
        <c:crosses val="autoZero"/>
        <c:crossBetween val="midCat"/>
      </c:valAx>
      <c:valAx>
        <c:axId val="52331744"/>
        <c:scaling>
          <c:orientation val="minMax"/>
        </c:scaling>
        <c:delete val="1"/>
        <c:axPos val="t"/>
        <c:numFmt formatCode="General" sourceLinked="1"/>
        <c:majorTickMark val="none"/>
        <c:minorTickMark val="none"/>
        <c:tickLblPos val="none"/>
        <c:spPr>
          <a:ln w="0">
            <a:solidFill>
              <a:srgbClr val="b3b3b3"/>
            </a:solidFill>
          </a:ln>
        </c:spPr>
        <c:txPr>
          <a:bodyPr/>
          <a:lstStyle/>
          <a:p>
            <a:pPr>
              <a:defRPr b="0" sz="1000" spc="-1" strike="noStrike">
                <a:solidFill>
                  <a:srgbClr val="000000"/>
                </a:solidFill>
                <a:latin typeface="Calibri"/>
              </a:defRPr>
            </a:pPr>
          </a:p>
        </c:txPr>
        <c:crossAx val="77892297"/>
        <c:crossBetween val="midCat"/>
        <c:majorUnit val="1"/>
      </c:valAx>
      <c:valAx>
        <c:axId val="77892297"/>
        <c:scaling>
          <c:orientation val="minMax"/>
        </c:scaling>
        <c:delete val="0"/>
        <c:axPos val="r"/>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52331744"/>
        <c:crosses val="max"/>
        <c:crossBetween val="midCat"/>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11.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Asking Rent and Market-RevPAF (Indexed, 2016 = 100) and Vacancy (2016-2025)</a:t>
            </a:r>
          </a:p>
        </c:rich>
      </c:tx>
      <c:overlay val="0"/>
      <c:spPr>
        <a:noFill/>
        <a:ln w="0">
          <a:noFill/>
        </a:ln>
      </c:spPr>
    </c:title>
    <c:autoTitleDeleted val="0"/>
    <c:plotArea>
      <c:layout>
        <c:manualLayout>
          <c:layoutTarget val="inner"/>
          <c:xMode val="edge"/>
          <c:yMode val="edge"/>
          <c:x val="0.100043050634169"/>
          <c:y val="0.16016016016016"/>
          <c:w val="0.799450276517535"/>
          <c:h val="0.61961961961962"/>
        </c:manualLayout>
      </c:layout>
      <c:scatterChart>
        <c:scatterStyle val="lineMarker"/>
        <c:varyColors val="0"/>
        <c:ser>
          <c:idx val="0"/>
          <c:order val="0"/>
          <c:tx>
            <c:strRef>
              <c:f>"CoStar Market Asking Rent (2016 = 100)"</c:f>
              <c:strCache>
                <c:ptCount val="1"/>
                <c:pt idx="0">
                  <c:v>CoStar Market Asking Rent (2016 = 100)</c:v>
                </c:pt>
              </c:strCache>
            </c:strRef>
          </c:tx>
          <c:spPr>
            <a:solidFill>
              <a:srgbClr val="1f3b57"/>
            </a:solidFill>
            <a:ln w="28440">
              <a:solidFill>
                <a:srgbClr val="1f3b57"/>
              </a:solidFill>
              <a:round/>
            </a:ln>
          </c:spPr>
          <c:marker>
            <c:symbol val="circle"/>
            <c:size val="5"/>
            <c:spPr>
              <a:solidFill>
                <a:srgbClr val="1f3b57"/>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'AVB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'AVB vs Market'!$X$4:$X$13</c:f>
              <c:numCache>
                <c:formatCode>0.0</c:formatCode>
                <c:ptCount val="10"/>
                <c:pt idx="0">
                  <c:v>100</c:v>
                </c:pt>
                <c:pt idx="1">
                  <c:v>102.701375774232</c:v>
                </c:pt>
                <c:pt idx="2">
                  <c:v>105.738736554474</c:v>
                </c:pt>
                <c:pt idx="3">
                  <c:v>108.438629231387</c:v>
                </c:pt>
                <c:pt idx="4">
                  <c:v>110.074718085838</c:v>
                </c:pt>
                <c:pt idx="5">
                  <c:v>119.77944815752</c:v>
                </c:pt>
                <c:pt idx="6">
                  <c:v>124.5841278629</c:v>
                </c:pt>
                <c:pt idx="7">
                  <c:v>126.215071534696</c:v>
                </c:pt>
                <c:pt idx="8">
                  <c:v>127.749465971549</c:v>
                </c:pt>
                <c:pt idx="9">
                  <c:v>128.2987517058</c:v>
                </c:pt>
              </c:numCache>
            </c:numRef>
          </c:yVal>
          <c:smooth val="0"/>
        </c:ser>
        <c:ser>
          <c:idx val="1"/>
          <c:order val="1"/>
          <c:tx>
            <c:strRef>
              <c:f>"Green Street Market-RevPAF (2016 = 100)"</c:f>
              <c:strCache>
                <c:ptCount val="1"/>
                <c:pt idx="0">
                  <c:v>Green Street Market-RevPAF (2016 = 100)</c:v>
                </c:pt>
              </c:strCache>
            </c:strRef>
          </c:tx>
          <c:spPr>
            <a:solidFill>
              <a:srgbClr val="a31f34"/>
            </a:solidFill>
            <a:ln w="28440">
              <a:solidFill>
                <a:srgbClr val="a31f34"/>
              </a:solidFill>
              <a:round/>
            </a:ln>
          </c:spPr>
          <c:marker>
            <c:symbol val="square"/>
            <c:size val="5"/>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'AVB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'AVB vs Market'!$AC$4:$AC$13</c:f>
              <c:numCache>
                <c:formatCode>0.0</c:formatCode>
                <c:ptCount val="10"/>
                <c:pt idx="0">
                  <c:v>100</c:v>
                </c:pt>
                <c:pt idx="1">
                  <c:v>101.91307</c:v>
                </c:pt>
                <c:pt idx="2">
                  <c:v>105.538820080952</c:v>
                </c:pt>
                <c:pt idx="3">
                  <c:v>108.533613913498</c:v>
                </c:pt>
                <c:pt idx="4">
                  <c:v>106.659623695541</c:v>
                </c:pt>
                <c:pt idx="5">
                  <c:v>123.022780000098</c:v>
                </c:pt>
                <c:pt idx="6">
                  <c:v>128.621102605667</c:v>
                </c:pt>
                <c:pt idx="7">
                  <c:v>128.260630389715</c:v>
                </c:pt>
                <c:pt idx="8">
                  <c:v>128.940642599915</c:v>
                </c:pt>
                <c:pt idx="9">
                  <c:v>129.359570747722</c:v>
                </c:pt>
              </c:numCache>
            </c:numRef>
          </c:yVal>
          <c:smooth val="0"/>
        </c:ser>
        <c:axId val="62981780"/>
        <c:axId val="13429285"/>
      </c:scatterChart>
      <c:scatterChart>
        <c:scatterStyle val="lineMarker"/>
        <c:varyColors val="0"/>
        <c:ser>
          <c:idx val="2"/>
          <c:order val="2"/>
          <c:tx>
            <c:strRef>
              <c:f>"CoStar National Vacancy (%)"</c:f>
              <c:strCache>
                <c:ptCount val="1"/>
                <c:pt idx="0">
                  <c:v>CoStar National Vacancy (%)</c:v>
                </c:pt>
              </c:strCache>
            </c:strRef>
          </c:tx>
          <c:spPr>
            <a:solidFill>
              <a:srgbClr val="8a8a8a"/>
            </a:solidFill>
            <a:ln w="28440">
              <a:solidFill>
                <a:srgbClr val="8a8a8a"/>
              </a:solidFill>
              <a:prstDash val="dash"/>
              <a:round/>
            </a:ln>
          </c:spPr>
          <c:marker>
            <c:symbol val="diamond"/>
            <c:size val="4"/>
            <c:spPr>
              <a:solidFill>
                <a:srgbClr val="8a8a8a"/>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'AVB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'AVB vs Market'!$G$4:$G$13</c:f>
              <c:numCache>
                <c:formatCode>0.00%</c:formatCode>
                <c:ptCount val="10"/>
                <c:pt idx="0">
                  <c:v>0.0661997473427734</c:v>
                </c:pt>
                <c:pt idx="1">
                  <c:v>0.0682590756692329</c:v>
                </c:pt>
                <c:pt idx="2">
                  <c:v>0.0657917059913334</c:v>
                </c:pt>
                <c:pt idx="3">
                  <c:v>0.0660913728926952</c:v>
                </c:pt>
                <c:pt idx="4">
                  <c:v>0.0677560986856392</c:v>
                </c:pt>
                <c:pt idx="5">
                  <c:v>0.0511618903179478</c:v>
                </c:pt>
                <c:pt idx="6">
                  <c:v>0.0659326534476428</c:v>
                </c:pt>
                <c:pt idx="7">
                  <c:v>0.0779636683425829</c:v>
                </c:pt>
                <c:pt idx="8">
                  <c:v>0.083232084773644</c:v>
                </c:pt>
                <c:pt idx="9">
                  <c:v>0.0847075532784309</c:v>
                </c:pt>
              </c:numCache>
            </c:numRef>
          </c:yVal>
          <c:smooth val="0"/>
        </c:ser>
        <c:axId val="81704227"/>
        <c:axId val="61079925"/>
      </c:scatterChart>
      <c:valAx>
        <c:axId val="62981780"/>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13429285"/>
        <c:crosses val="autoZero"/>
        <c:crossBetween val="midCat"/>
        <c:majorUnit val="1"/>
      </c:valAx>
      <c:valAx>
        <c:axId val="13429285"/>
        <c:scaling>
          <c:orientation val="minMax"/>
        </c:scaling>
        <c:delete val="0"/>
        <c:axPos val="l"/>
        <c:majorGridlines>
          <c:spPr>
            <a:ln w="0">
              <a:solidFill>
                <a:srgbClr val="b3b3b3"/>
              </a:solidFill>
            </a:ln>
          </c:spPr>
        </c:majorGridlines>
        <c:numFmt formatCode="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62981780"/>
        <c:crosses val="autoZero"/>
        <c:crossBetween val="midCat"/>
      </c:valAx>
      <c:valAx>
        <c:axId val="81704227"/>
        <c:scaling>
          <c:orientation val="minMax"/>
        </c:scaling>
        <c:delete val="1"/>
        <c:axPos val="t"/>
        <c:numFmt formatCode="General" sourceLinked="1"/>
        <c:majorTickMark val="none"/>
        <c:minorTickMark val="none"/>
        <c:tickLblPos val="none"/>
        <c:spPr>
          <a:ln w="0">
            <a:solidFill>
              <a:srgbClr val="b3b3b3"/>
            </a:solidFill>
          </a:ln>
        </c:spPr>
        <c:txPr>
          <a:bodyPr/>
          <a:lstStyle/>
          <a:p>
            <a:pPr>
              <a:defRPr b="0" sz="1000" spc="-1" strike="noStrike">
                <a:solidFill>
                  <a:srgbClr val="000000"/>
                </a:solidFill>
                <a:latin typeface="Calibri"/>
              </a:defRPr>
            </a:pPr>
          </a:p>
        </c:txPr>
        <c:crossAx val="61079925"/>
        <c:crossBetween val="midCat"/>
        <c:majorUnit val="1"/>
      </c:valAx>
      <c:valAx>
        <c:axId val="61079925"/>
        <c:scaling>
          <c:orientation val="minMax"/>
        </c:scaling>
        <c:delete val="0"/>
        <c:axPos val="r"/>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81704227"/>
        <c:crosses val="max"/>
        <c:crossBetween val="midCat"/>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12.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Supply Reduction and Forecast Revenue Recovery (2016-2030): Market-RevPAF Growth
Green Street, 50-market weighted average; dashed segment is the Green Street forecast (2026-2030).</a:t>
            </a:r>
          </a:p>
        </c:rich>
      </c:tx>
      <c:overlay val="0"/>
      <c:spPr>
        <a:noFill/>
        <a:ln w="0">
          <a:noFill/>
        </a:ln>
      </c:spPr>
    </c:title>
    <c:autoTitleDeleted val="0"/>
    <c:plotArea>
      <c:layout>
        <c:manualLayout>
          <c:layoutTarget val="inner"/>
          <c:xMode val="edge"/>
          <c:yMode val="edge"/>
          <c:x val="0.100043050634169"/>
          <c:y val="0.16016016016016"/>
          <c:w val="0.799450276517535"/>
          <c:h val="0.61961961961962"/>
        </c:manualLayout>
      </c:layout>
      <c:scatterChart>
        <c:scatterStyle val="lineMarker"/>
        <c:varyColors val="0"/>
        <c:ser>
          <c:idx val="0"/>
          <c:order val="0"/>
          <c:tx>
            <c:strRef>
              <c:f>"Market-RevPAF Growth, actual"</c:f>
              <c:strCache>
                <c:ptCount val="1"/>
                <c:pt idx="0">
                  <c:v>Market-RevPAF Growth, actual</c:v>
                </c:pt>
              </c:strCache>
            </c:strRef>
          </c:tx>
          <c:spPr>
            <a:solidFill>
              <a:srgbClr val="a31f34"/>
            </a:solidFill>
            <a:ln w="28440">
              <a:solidFill>
                <a:srgbClr val="a31f34"/>
              </a:solidFill>
              <a:round/>
            </a:ln>
          </c:spPr>
          <c:marker>
            <c:symbol val="circle"/>
            <c:size val="5"/>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'Green Street National'!$A$4:$A$13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'Green Street National'!$C$4:$C$13</c:f>
              <c:numCache>
                <c:formatCode>0.00%</c:formatCode>
                <c:ptCount val="10"/>
                <c:pt idx="0">
                  <c:v>0.01663905</c:v>
                </c:pt>
                <c:pt idx="1">
                  <c:v>0.0191307</c:v>
                </c:pt>
                <c:pt idx="2">
                  <c:v>0.03557689</c:v>
                </c:pt>
                <c:pt idx="3">
                  <c:v>0.02837623</c:v>
                </c:pt>
                <c:pt idx="4">
                  <c:v>-0.01726645</c:v>
                </c:pt>
                <c:pt idx="5">
                  <c:v>0.15341472</c:v>
                </c:pt>
                <c:pt idx="6">
                  <c:v>0.04550639</c:v>
                </c:pt>
                <c:pt idx="7">
                  <c:v>-0.00280259</c:v>
                </c:pt>
                <c:pt idx="8">
                  <c:v>0.0053018</c:v>
                </c:pt>
                <c:pt idx="9">
                  <c:v>0.003249</c:v>
                </c:pt>
              </c:numCache>
            </c:numRef>
          </c:yVal>
          <c:smooth val="0"/>
        </c:ser>
        <c:ser>
          <c:idx val="1"/>
          <c:order val="1"/>
          <c:tx>
            <c:strRef>
              <c:f>"Market-RevPAF Growth, Green Street forecast"</c:f>
              <c:strCache>
                <c:ptCount val="1"/>
                <c:pt idx="0">
                  <c:v>Market-RevPAF Growth, Green Street forecast</c:v>
                </c:pt>
              </c:strCache>
            </c:strRef>
          </c:tx>
          <c:spPr>
            <a:solidFill>
              <a:srgbClr val="a31f34"/>
            </a:solidFill>
            <a:ln w="28440">
              <a:solidFill>
                <a:srgbClr val="a31f34"/>
              </a:solidFill>
              <a:prstDash val="dash"/>
              <a:round/>
            </a:ln>
          </c:spPr>
          <c:marker>
            <c:symbol val="circle"/>
            <c:size val="5"/>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'Green Street National'!$A$13:$A$18</c:f>
              <c:numCache>
                <c:formatCode>General</c:formatCode>
                <c:ptCount val="6"/>
                <c:pt idx="0">
                  <c:v>2025</c:v>
                </c:pt>
                <c:pt idx="1">
                  <c:v>2026</c:v>
                </c:pt>
                <c:pt idx="2">
                  <c:v>2027</c:v>
                </c:pt>
                <c:pt idx="3">
                  <c:v>2028</c:v>
                </c:pt>
                <c:pt idx="4">
                  <c:v>2029</c:v>
                </c:pt>
                <c:pt idx="5">
                  <c:v>2030</c:v>
                </c:pt>
              </c:numCache>
            </c:numRef>
          </c:xVal>
          <c:yVal>
            <c:numRef>
              <c:f>'Green Street National'!$C$13:$C$18</c:f>
              <c:numCache>
                <c:formatCode>0.00%</c:formatCode>
                <c:ptCount val="6"/>
                <c:pt idx="0">
                  <c:v>0.003249</c:v>
                </c:pt>
                <c:pt idx="1">
                  <c:v>0.02318629</c:v>
                </c:pt>
                <c:pt idx="2">
                  <c:v>0.02469338</c:v>
                </c:pt>
                <c:pt idx="3">
                  <c:v>0.03493457</c:v>
                </c:pt>
                <c:pt idx="4">
                  <c:v>0.03015955</c:v>
                </c:pt>
                <c:pt idx="5">
                  <c:v>0.02999998</c:v>
                </c:pt>
              </c:numCache>
            </c:numRef>
          </c:yVal>
          <c:smooth val="0"/>
        </c:ser>
        <c:axId val="10068234"/>
        <c:axId val="41885076"/>
      </c:scatterChart>
      <c:valAx>
        <c:axId val="10068234"/>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41885076"/>
        <c:crosses val="autoZero"/>
        <c:crossBetween val="midCat"/>
        <c:majorUnit val="1"/>
      </c:valAx>
      <c:valAx>
        <c:axId val="41885076"/>
        <c:scaling>
          <c:orientation val="minMax"/>
        </c:scaling>
        <c:delete val="0"/>
        <c:axPos val="l"/>
        <c:majorGridlines>
          <c:spPr>
            <a:ln w="0">
              <a:solidFill>
                <a:srgbClr val="b3b3b3"/>
              </a:solidFill>
            </a:ln>
          </c:spPr>
        </c:majorGridlines>
        <c:numFmt formatCode="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10068234"/>
        <c:crosses val="autoZero"/>
        <c:crossBetween val="midCat"/>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13.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Supply Reduction and Forecast Revenue Recovery (2016-2030): Supply Growth (% of Stock)
Green Street, 50-market weighted average; lighter bars are the Green Street forecast (2026-2030).</a:t>
            </a:r>
          </a:p>
        </c:rich>
      </c:tx>
      <c:overlay val="0"/>
      <c:spPr>
        <a:noFill/>
        <a:ln w="0">
          <a:noFill/>
        </a:ln>
      </c:spPr>
    </c:title>
    <c:autoTitleDeleted val="0"/>
    <c:plotArea>
      <c:layout>
        <c:manualLayout>
          <c:layoutTarget val="inner"/>
          <c:xMode val="edge"/>
          <c:yMode val="edge"/>
          <c:x val="0.100043050634169"/>
          <c:y val="0.16016016016016"/>
          <c:w val="0.799450276517535"/>
          <c:h val="0.61961961961962"/>
        </c:manualLayout>
      </c:layout>
      <c:barChart>
        <c:barDir val="col"/>
        <c:grouping val="stacked"/>
        <c:varyColors val="0"/>
        <c:ser>
          <c:idx val="0"/>
          <c:order val="0"/>
          <c:tx>
            <c:strRef>
              <c:f>"Supply Growth, actual"</c:f>
              <c:strCache>
                <c:ptCount val="1"/>
                <c:pt idx="0">
                  <c:v>Supply Growth, actual</c:v>
                </c:pt>
              </c:strCache>
            </c:strRef>
          </c:tx>
          <c:spPr>
            <a:solidFill>
              <a:srgbClr val="1f3b57"/>
            </a:solidFill>
            <a:ln w="0">
              <a:noFill/>
            </a:ln>
          </c:spPr>
          <c:invertIfNegative val="0"/>
          <c:dLbls>
            <c:txPr>
              <a:bodyPr wrap="square"/>
              <a:lstStyle/>
              <a:p>
                <a:pPr>
                  <a:defRPr b="0" sz="1000" spc="-1" strike="noStrike">
                    <a:solidFill>
                      <a:srgbClr val="000000"/>
                    </a:solidFill>
                    <a:latin typeface="Calibri"/>
                  </a:defRPr>
                </a:pPr>
              </a:p>
            </c:txPr>
            <c:dLblPos val="ct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'Green Street National'!$A$4:$A$18</c:f>
              <c:strCache>
                <c:ptCount val="1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strCache>
            </c:strRef>
          </c:cat>
          <c:val>
            <c:numRef>
              <c:f>'Green Street National'!$H$4:$H$18</c:f>
              <c:numCache>
                <c:formatCode>0.00%</c:formatCode>
                <c:ptCount val="15"/>
                <c:pt idx="0">
                  <c:v>0.0149858</c:v>
                </c:pt>
                <c:pt idx="1">
                  <c:v>0.01686709</c:v>
                </c:pt>
                <c:pt idx="2">
                  <c:v>0.01575162</c:v>
                </c:pt>
                <c:pt idx="3">
                  <c:v>0.0159728</c:v>
                </c:pt>
                <c:pt idx="4">
                  <c:v>0.01823612</c:v>
                </c:pt>
                <c:pt idx="5">
                  <c:v>0.01970652</c:v>
                </c:pt>
                <c:pt idx="6">
                  <c:v>0.02073482</c:v>
                </c:pt>
                <c:pt idx="7">
                  <c:v>0.02301904</c:v>
                </c:pt>
                <c:pt idx="8">
                  <c:v>0.0283895</c:v>
                </c:pt>
                <c:pt idx="9">
                  <c:v>0.02216701</c:v>
                </c:pt>
              </c:numCache>
            </c:numRef>
          </c:val>
        </c:ser>
        <c:ser>
          <c:idx val="1"/>
          <c:order val="1"/>
          <c:tx>
            <c:strRef>
              <c:f>"Supply Growth, Green Street forecast"</c:f>
              <c:strCache>
                <c:ptCount val="1"/>
                <c:pt idx="0">
                  <c:v>Supply Growth, Green Street forecast</c:v>
                </c:pt>
              </c:strCache>
            </c:strRef>
          </c:tx>
          <c:spPr>
            <a:solidFill>
              <a:srgbClr val="a9bcd1"/>
            </a:solidFill>
            <a:ln w="0">
              <a:noFill/>
            </a:ln>
          </c:spPr>
          <c:invertIfNegative val="0"/>
          <c:dLbls>
            <c:txPr>
              <a:bodyPr wrap="square"/>
              <a:lstStyle/>
              <a:p>
                <a:pPr>
                  <a:defRPr b="0" sz="1000" spc="-1" strike="noStrike">
                    <a:solidFill>
                      <a:srgbClr val="000000"/>
                    </a:solidFill>
                    <a:latin typeface="Calibri"/>
                  </a:defRPr>
                </a:pPr>
              </a:p>
            </c:txPr>
            <c:dLblPos val="ct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'Green Street National'!$A$4:$A$18</c:f>
              <c:strCache>
                <c:ptCount val="1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strCache>
            </c:strRef>
          </c:cat>
          <c:val>
            <c:numRef>
              <c:f>'Green Street National'!$I$4:$I$18</c:f>
              <c:numCache>
                <c:formatCode>0.00%</c:formatCode>
                <c:ptCount val="15"/>
                <c:pt idx="10">
                  <c:v>0.01712276</c:v>
                </c:pt>
                <c:pt idx="11">
                  <c:v>0.013</c:v>
                </c:pt>
                <c:pt idx="12">
                  <c:v>0.012</c:v>
                </c:pt>
                <c:pt idx="13">
                  <c:v>0.013</c:v>
                </c:pt>
                <c:pt idx="14">
                  <c:v>0.013</c:v>
                </c:pt>
              </c:numCache>
            </c:numRef>
          </c:val>
        </c:ser>
        <c:gapWidth val="150"/>
        <c:overlap val="100"/>
        <c:axId val="70653797"/>
        <c:axId val="50595173"/>
      </c:barChart>
      <c:catAx>
        <c:axId val="70653797"/>
        <c:scaling>
          <c:orientation val="minMax"/>
        </c:scaling>
        <c:delete val="0"/>
        <c:axPos val="b"/>
        <c:numFmt formatCode="General"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50595173"/>
        <c:crosses val="autoZero"/>
        <c:auto val="1"/>
        <c:lblAlgn val="ctr"/>
        <c:lblOffset val="100"/>
        <c:noMultiLvlLbl val="0"/>
      </c:catAx>
      <c:valAx>
        <c:axId val="50595173"/>
        <c:scaling>
          <c:orientation val="minMax"/>
        </c:scaling>
        <c:delete val="0"/>
        <c:axPos val="l"/>
        <c:majorGridlines>
          <c:spPr>
            <a:ln w="0">
              <a:solidFill>
                <a:srgbClr val="b3b3b3"/>
              </a:solidFill>
            </a:ln>
          </c:spPr>
        </c:majorGridlines>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70653797"/>
        <c:crosses val="autoZero"/>
        <c:crossBetween val="between"/>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14.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Operating Fundamentals: CoStar Market Asking Rent ($/Unit) (2016-2025)</a:t>
            </a:r>
          </a:p>
        </c:rich>
      </c:tx>
      <c:overlay val="0"/>
      <c:spPr>
        <a:noFill/>
        <a:ln w="0">
          <a:noFill/>
        </a:ln>
      </c:spPr>
    </c:title>
    <c:autoTitleDeleted val="0"/>
    <c:plotArea>
      <c:layout>
        <c:manualLayout>
          <c:layoutTarget val="inner"/>
          <c:xMode val="edge"/>
          <c:yMode val="edge"/>
          <c:x val="0.100043050634169"/>
          <c:y val="0.16016016016016"/>
          <c:w val="0.799450276517535"/>
          <c:h val="0.61961961961962"/>
        </c:manualLayout>
      </c:layout>
      <c:scatterChart>
        <c:scatterStyle val="lineMarker"/>
        <c:varyColors val="0"/>
        <c:ser>
          <c:idx val="0"/>
          <c:order val="0"/>
          <c:tx>
            <c:strRef>
              <c:f>"CoStar Market Asking Rent ($/Unit)"</c:f>
              <c:strCache>
                <c:ptCount val="1"/>
                <c:pt idx="0">
                  <c:v>CoStar Market Asking Rent ($/Unit)</c:v>
                </c:pt>
              </c:strCache>
            </c:strRef>
          </c:tx>
          <c:spPr>
            <a:solidFill>
              <a:srgbClr val="1f3b57"/>
            </a:solidFill>
            <a:ln w="28440">
              <a:solidFill>
                <a:srgbClr val="1f3b57"/>
              </a:solidFill>
              <a:round/>
            </a:ln>
          </c:spPr>
          <c:marker>
            <c:symbol val="circle"/>
            <c:size val="5"/>
            <c:spPr>
              <a:solidFill>
                <a:srgbClr val="1f3b57"/>
              </a:solidFill>
            </c:spPr>
          </c:marker>
          <c:dPt>
            <c:idx val="0"/>
            <c:marker>
              <c:symbol val="circle"/>
              <c:size val="5"/>
              <c:spPr>
                <a:solidFill>
                  <a:srgbClr val="1f3b57"/>
                </a:solidFill>
              </c:spPr>
            </c:marker>
          </c:dPt>
          <c:dPt>
            <c:idx val="1"/>
            <c:marker>
              <c:symbol val="circle"/>
              <c:size val="5"/>
              <c:spPr>
                <a:solidFill>
                  <a:srgbClr val="1f3b57"/>
                </a:solidFill>
              </c:spPr>
            </c:marker>
          </c:dPt>
          <c:dPt>
            <c:idx val="2"/>
            <c:marker>
              <c:symbol val="circle"/>
              <c:size val="5"/>
              <c:spPr>
                <a:solidFill>
                  <a:srgbClr val="1f3b57"/>
                </a:solidFill>
              </c:spPr>
            </c:marker>
          </c:dPt>
          <c:dPt>
            <c:idx val="3"/>
            <c:marker>
              <c:symbol val="circle"/>
              <c:size val="5"/>
              <c:spPr>
                <a:solidFill>
                  <a:srgbClr val="1f3b57"/>
                </a:solidFill>
              </c:spPr>
            </c:marker>
          </c:dPt>
          <c:dPt>
            <c:idx val="4"/>
            <c:marker>
              <c:symbol val="circle"/>
              <c:size val="5"/>
              <c:spPr>
                <a:solidFill>
                  <a:srgbClr val="1f3b57"/>
                </a:solidFill>
              </c:spPr>
            </c:marker>
          </c:dPt>
          <c:dPt>
            <c:idx val="5"/>
            <c:marker>
              <c:symbol val="circle"/>
              <c:size val="5"/>
              <c:spPr>
                <a:solidFill>
                  <a:srgbClr val="1f3b57"/>
                </a:solidFill>
              </c:spPr>
            </c:marker>
          </c:dPt>
          <c:dPt>
            <c:idx val="6"/>
            <c:marker>
              <c:symbol val="circle"/>
              <c:size val="5"/>
              <c:spPr>
                <a:solidFill>
                  <a:srgbClr val="1f3b57"/>
                </a:solidFill>
              </c:spPr>
            </c:marker>
          </c:dPt>
          <c:dPt>
            <c:idx val="7"/>
            <c:marker>
              <c:symbol val="circle"/>
              <c:size val="5"/>
              <c:spPr>
                <a:solidFill>
                  <a:srgbClr val="1f3b57"/>
                </a:solidFill>
              </c:spPr>
            </c:marker>
          </c:dPt>
          <c:dPt>
            <c:idx val="8"/>
            <c:marker>
              <c:symbol val="circle"/>
              <c:size val="5"/>
              <c:spPr>
                <a:solidFill>
                  <a:srgbClr val="1f3b57"/>
                </a:solidFill>
              </c:spPr>
            </c:marker>
          </c:dPt>
          <c:dPt>
            <c:idx val="9"/>
            <c:marker>
              <c:symbol val="circle"/>
              <c:size val="5"/>
              <c:spPr>
                <a:solidFill>
                  <a:srgbClr val="1f3b57"/>
                </a:solidFill>
              </c:spPr>
            </c:marker>
          </c:dPt>
          <c:dLbls>
            <c:dLbl>
              <c:idx val="0"/>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1"/>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2"/>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3"/>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4"/>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5"/>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6"/>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7"/>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8"/>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9"/>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'MAA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'MAA vs Market'!$AA$4:$AA$13</c:f>
              <c:numCache>
                <c:formatCode>#,##0</c:formatCode>
                <c:ptCount val="10"/>
                <c:pt idx="0">
                  <c:v>1376.36653028372</c:v>
                </c:pt>
                <c:pt idx="1">
                  <c:v>1413.54736229744</c:v>
                </c:pt>
                <c:pt idx="2">
                  <c:v>1455.35257948066</c:v>
                </c:pt>
                <c:pt idx="3">
                  <c:v>1492.51299863927</c:v>
                </c:pt>
                <c:pt idx="4">
                  <c:v>1515.03157803764</c:v>
                </c:pt>
                <c:pt idx="5">
                  <c:v>1648.60423459865</c:v>
                </c:pt>
                <c:pt idx="6">
                  <c:v>1714.73423795083</c:v>
                </c:pt>
                <c:pt idx="7">
                  <c:v>1737.18200077721</c:v>
                </c:pt>
                <c:pt idx="8">
                  <c:v>1758.30089224859</c:v>
                </c:pt>
                <c:pt idx="9">
                  <c:v>1765.86107725045</c:v>
                </c:pt>
              </c:numCache>
            </c:numRef>
          </c:yVal>
          <c:smooth val="0"/>
        </c:ser>
        <c:axId val="87714650"/>
        <c:axId val="50328954"/>
      </c:scatterChart>
      <c:valAx>
        <c:axId val="87714650"/>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50328954"/>
        <c:crosses val="autoZero"/>
        <c:crossBetween val="midCat"/>
        <c:majorUnit val="1"/>
      </c:valAx>
      <c:valAx>
        <c:axId val="50328954"/>
        <c:scaling>
          <c:orientation val="minMax"/>
        </c:scaling>
        <c:delete val="0"/>
        <c:axPos val="l"/>
        <c:majorGridlines>
          <c:spPr>
            <a:ln w="0">
              <a:solidFill>
                <a:srgbClr val="b3b3b3"/>
              </a:solidFill>
            </a:ln>
          </c:spPr>
        </c:majorGridlines>
        <c:numFmt formatCode="\$0.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87714650"/>
        <c:crosses val="autoZero"/>
        <c:crossBetween val="midCat"/>
      </c:valAx>
      <c:spPr>
        <a:noFill/>
        <a:ln w="0">
          <a:noFill/>
        </a:ln>
      </c:spPr>
    </c:plotArea>
    <c:plotVisOnly val="1"/>
    <c:dispBlanksAs val="gap"/>
  </c:chart>
  <c:spPr>
    <a:solidFill>
      <a:srgbClr val="ffffff"/>
    </a:solidFill>
    <a:ln w="9360">
      <a:solidFill>
        <a:srgbClr val="d9d9d9"/>
      </a:solidFill>
      <a:round/>
    </a:ln>
  </c:spPr>
</c:chartSpace>
</file>

<file path=xl/charts/chart15.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Inflation and the Cost of Debt: CPI vs. Prime Rate (2016-2025)
2022: CPI averaged 8.0% while the prime rate averaged 4.9%; the prime rate followed to 8.3% by 2023.</a:t>
            </a:r>
          </a:p>
        </c:rich>
      </c:tx>
      <c:overlay val="0"/>
      <c:spPr>
        <a:noFill/>
        <a:ln w="0">
          <a:noFill/>
        </a:ln>
      </c:spPr>
    </c:title>
    <c:autoTitleDeleted val="0"/>
    <c:plotArea>
      <c:layout>
        <c:manualLayout>
          <c:layoutTarget val="inner"/>
          <c:xMode val="edge"/>
          <c:yMode val="edge"/>
          <c:x val="0.100043050634169"/>
          <c:y val="0.16016016016016"/>
          <c:w val="0.799450276517535"/>
          <c:h val="0.61961961961962"/>
        </c:manualLayout>
      </c:layout>
      <c:scatterChart>
        <c:scatterStyle val="lineMarker"/>
        <c:varyColors val="0"/>
        <c:ser>
          <c:idx val="0"/>
          <c:order val="0"/>
          <c:tx>
            <c:strRef>
              <c:f>"Bank Prime Loan Rate"</c:f>
              <c:strCache>
                <c:ptCount val="1"/>
                <c:pt idx="0">
                  <c:v>Bank Prime Loan Rate</c:v>
                </c:pt>
              </c:strCache>
            </c:strRef>
          </c:tx>
          <c:spPr>
            <a:solidFill>
              <a:srgbClr val="8a8a8a"/>
            </a:solidFill>
            <a:ln w="28440">
              <a:solidFill>
                <a:srgbClr val="8a8a8a"/>
              </a:solidFill>
              <a:round/>
            </a:ln>
          </c:spPr>
          <c:marker>
            <c:symbol val="triangle"/>
            <c:size val="5"/>
            <c:spPr>
              <a:solidFill>
                <a:srgbClr val="8a8a8a"/>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'MAA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'MAA vs Market'!$P$4:$P$13</c:f>
              <c:numCache>
                <c:formatCode>0.00%</c:formatCode>
                <c:ptCount val="10"/>
                <c:pt idx="0">
                  <c:v>0.0351</c:v>
                </c:pt>
                <c:pt idx="1">
                  <c:v>0.041</c:v>
                </c:pt>
                <c:pt idx="2">
                  <c:v>0.049</c:v>
                </c:pt>
                <c:pt idx="3">
                  <c:v>0.0528</c:v>
                </c:pt>
                <c:pt idx="4">
                  <c:v>0.0354</c:v>
                </c:pt>
                <c:pt idx="5">
                  <c:v>0.0325</c:v>
                </c:pt>
                <c:pt idx="6">
                  <c:v>0.0485</c:v>
                </c:pt>
                <c:pt idx="7">
                  <c:v>0.0819</c:v>
                </c:pt>
                <c:pt idx="8">
                  <c:v>0.0831</c:v>
                </c:pt>
                <c:pt idx="9">
                  <c:v>0.0737</c:v>
                </c:pt>
              </c:numCache>
            </c:numRef>
          </c:yVal>
          <c:smooth val="0"/>
        </c:ser>
        <c:ser>
          <c:idx val="1"/>
          <c:order val="1"/>
          <c:tx>
            <c:strRef>
              <c:f>"CPI Inflation (annual avg, YoY)"</c:f>
              <c:strCache>
                <c:ptCount val="1"/>
                <c:pt idx="0">
                  <c:v>CPI Inflation (annual avg, YoY)</c:v>
                </c:pt>
              </c:strCache>
            </c:strRef>
          </c:tx>
          <c:spPr>
            <a:solidFill>
              <a:srgbClr val="c08a00"/>
            </a:solidFill>
            <a:ln w="28440">
              <a:solidFill>
                <a:srgbClr val="c08a00"/>
              </a:solidFill>
              <a:round/>
            </a:ln>
          </c:spPr>
          <c:marker>
            <c:symbol val="diamond"/>
            <c:size val="5"/>
            <c:spPr>
              <a:solidFill>
                <a:srgbClr val="c08a00"/>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'MAA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'MAA vs Market'!$S$4:$S$13</c:f>
              <c:numCache>
                <c:formatCode>0.00%</c:formatCode>
                <c:ptCount val="10"/>
                <c:pt idx="0">
                  <c:v>0.0126707791495431</c:v>
                </c:pt>
                <c:pt idx="1">
                  <c:v>0.0213162225786963</c:v>
                </c:pt>
                <c:pt idx="2">
                  <c:v>0.0243920349541655</c:v>
                </c:pt>
                <c:pt idx="3">
                  <c:v>0.0181322182397452</c:v>
                </c:pt>
                <c:pt idx="4">
                  <c:v>0.0125287010127009</c:v>
                </c:pt>
                <c:pt idx="5">
                  <c:v>0.0468098093148315</c:v>
                </c:pt>
                <c:pt idx="6">
                  <c:v>0.0799083303502561</c:v>
                </c:pt>
                <c:pt idx="7">
                  <c:v>0.0412711105643382</c:v>
                </c:pt>
                <c:pt idx="8">
                  <c:v>0.0295205495187116</c:v>
                </c:pt>
                <c:pt idx="9">
                  <c:v>0.0263438083762091</c:v>
                </c:pt>
              </c:numCache>
            </c:numRef>
          </c:yVal>
          <c:smooth val="0"/>
        </c:ser>
        <c:axId val="18012061"/>
        <c:axId val="74668361"/>
      </c:scatterChart>
      <c:valAx>
        <c:axId val="18012061"/>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74668361"/>
        <c:crosses val="autoZero"/>
        <c:crossBetween val="midCat"/>
        <c:majorUnit val="1"/>
      </c:valAx>
      <c:valAx>
        <c:axId val="74668361"/>
        <c:scaling>
          <c:orientation val="minMax"/>
        </c:scaling>
        <c:delete val="0"/>
        <c:axPos val="l"/>
        <c:majorGridlines>
          <c:spPr>
            <a:ln w="0">
              <a:solidFill>
                <a:srgbClr val="b3b3b3"/>
              </a:solidFill>
            </a:ln>
          </c:spPr>
        </c:majorGridlines>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18012061"/>
        <c:crosses val="autoZero"/>
        <c:crossBetween val="midCat"/>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16.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Valuation: Gross NOI Multiple (2016-2025)
MAA figures are aggregate, not per share; shares outstanding grew 0.2% per year on average (2% cumulative, 2016-2025).</a:t>
            </a:r>
          </a:p>
        </c:rich>
      </c:tx>
      <c:overlay val="0"/>
      <c:spPr>
        <a:noFill/>
        <a:ln w="0">
          <a:noFill/>
        </a:ln>
      </c:spPr>
    </c:title>
    <c:autoTitleDeleted val="0"/>
    <c:plotArea>
      <c:layout>
        <c:manualLayout>
          <c:layoutTarget val="inner"/>
          <c:xMode val="edge"/>
          <c:yMode val="edge"/>
          <c:x val="0.100043050634169"/>
          <c:y val="0.16016016016016"/>
          <c:w val="0.799450276517535"/>
          <c:h val="0.61961961961962"/>
        </c:manualLayout>
      </c:layout>
      <c:scatterChart>
        <c:scatterStyle val="lineMarker"/>
        <c:varyColors val="0"/>
        <c:ser>
          <c:idx val="0"/>
          <c:order val="0"/>
          <c:tx>
            <c:strRef>
              <c:f>"Gross NOI Multiple (x)"</c:f>
              <c:strCache>
                <c:ptCount val="1"/>
                <c:pt idx="0">
                  <c:v>Gross NOI Multiple (x)</c:v>
                </c:pt>
              </c:strCache>
            </c:strRef>
          </c:tx>
          <c:spPr>
            <a:solidFill>
              <a:srgbClr val="a31f34"/>
            </a:solidFill>
            <a:ln w="28440">
              <a:solidFill>
                <a:srgbClr val="a31f34"/>
              </a:solidFill>
              <a:round/>
            </a:ln>
          </c:spPr>
          <c:marker>
            <c:symbol val="square"/>
            <c:size val="5"/>
            <c:spPr>
              <a:solidFill>
                <a:srgbClr val="a31f34"/>
              </a:solidFill>
            </c:spPr>
          </c:marker>
          <c:dPt>
            <c:idx val="0"/>
            <c:marker>
              <c:symbol val="square"/>
              <c:size val="5"/>
              <c:spPr>
                <a:solidFill>
                  <a:srgbClr val="a31f34"/>
                </a:solidFill>
              </c:spPr>
            </c:marker>
          </c:dPt>
          <c:dPt>
            <c:idx val="1"/>
            <c:marker>
              <c:symbol val="square"/>
              <c:size val="5"/>
              <c:spPr>
                <a:solidFill>
                  <a:srgbClr val="a31f34"/>
                </a:solidFill>
              </c:spPr>
            </c:marker>
          </c:dPt>
          <c:dPt>
            <c:idx val="2"/>
            <c:marker>
              <c:symbol val="square"/>
              <c:size val="5"/>
              <c:spPr>
                <a:solidFill>
                  <a:srgbClr val="a31f34"/>
                </a:solidFill>
              </c:spPr>
            </c:marker>
          </c:dPt>
          <c:dPt>
            <c:idx val="3"/>
            <c:marker>
              <c:symbol val="square"/>
              <c:size val="5"/>
              <c:spPr>
                <a:solidFill>
                  <a:srgbClr val="a31f34"/>
                </a:solidFill>
              </c:spPr>
            </c:marker>
          </c:dPt>
          <c:dPt>
            <c:idx val="4"/>
            <c:marker>
              <c:symbol val="square"/>
              <c:size val="5"/>
              <c:spPr>
                <a:solidFill>
                  <a:srgbClr val="a31f34"/>
                </a:solidFill>
              </c:spPr>
            </c:marker>
          </c:dPt>
          <c:dPt>
            <c:idx val="5"/>
            <c:marker>
              <c:symbol val="square"/>
              <c:size val="5"/>
              <c:spPr>
                <a:solidFill>
                  <a:srgbClr val="a31f34"/>
                </a:solidFill>
              </c:spPr>
            </c:marker>
          </c:dPt>
          <c:dPt>
            <c:idx val="6"/>
            <c:marker>
              <c:symbol val="square"/>
              <c:size val="5"/>
              <c:spPr>
                <a:solidFill>
                  <a:srgbClr val="a31f34"/>
                </a:solidFill>
              </c:spPr>
            </c:marker>
          </c:dPt>
          <c:dPt>
            <c:idx val="7"/>
            <c:marker>
              <c:symbol val="square"/>
              <c:size val="5"/>
              <c:spPr>
                <a:solidFill>
                  <a:srgbClr val="a31f34"/>
                </a:solidFill>
              </c:spPr>
            </c:marker>
          </c:dPt>
          <c:dPt>
            <c:idx val="8"/>
            <c:marker>
              <c:symbol val="square"/>
              <c:size val="5"/>
              <c:spPr>
                <a:solidFill>
                  <a:srgbClr val="a31f34"/>
                </a:solidFill>
              </c:spPr>
            </c:marker>
          </c:dPt>
          <c:dPt>
            <c:idx val="9"/>
            <c:marker>
              <c:symbol val="square"/>
              <c:size val="5"/>
              <c:spPr>
                <a:solidFill>
                  <a:srgbClr val="a31f34"/>
                </a:solidFill>
              </c:spPr>
            </c:marker>
          </c:dPt>
          <c:dLbls>
            <c:dLbl>
              <c:idx val="0"/>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1"/>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2"/>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3"/>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4"/>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5"/>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6"/>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7"/>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8"/>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9"/>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'MAA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'MAA vs Market'!$J$4:$J$13</c:f>
              <c:numCache>
                <c:formatCode>0.0</c:formatCode>
                <c:ptCount val="10"/>
                <c:pt idx="0">
                  <c:v>22.4637623801981</c:v>
                </c:pt>
                <c:pt idx="1">
                  <c:v>17.034068528967</c:v>
                </c:pt>
                <c:pt idx="2">
                  <c:v>16.1168940081371</c:v>
                </c:pt>
                <c:pt idx="3">
                  <c:v>19.4012725931264</c:v>
                </c:pt>
                <c:pt idx="4">
                  <c:v>18.569122834085</c:v>
                </c:pt>
                <c:pt idx="5">
                  <c:v>28.4453141864837</c:v>
                </c:pt>
                <c:pt idx="6">
                  <c:v>17.5039030933472</c:v>
                </c:pt>
                <c:pt idx="7">
                  <c:v>14.6615850361255</c:v>
                </c:pt>
                <c:pt idx="8">
                  <c:v>16.7936249932418</c:v>
                </c:pt>
                <c:pt idx="9">
                  <c:v>15.7460305235762</c:v>
                </c:pt>
              </c:numCache>
            </c:numRef>
          </c:yVal>
          <c:smooth val="0"/>
        </c:ser>
        <c:axId val="62031779"/>
        <c:axId val="31923852"/>
      </c:scatterChart>
      <c:valAx>
        <c:axId val="62031779"/>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31923852"/>
        <c:crosses val="autoZero"/>
        <c:crossBetween val="midCat"/>
        <c:majorUnit val="1"/>
      </c:valAx>
      <c:valAx>
        <c:axId val="31923852"/>
        <c:scaling>
          <c:orientation val="minMax"/>
        </c:scaling>
        <c:delete val="0"/>
        <c:axPos val="l"/>
        <c:majorGridlines>
          <c:spPr>
            <a:ln w="0">
              <a:solidFill>
                <a:srgbClr val="b3b3b3"/>
              </a:solidFill>
            </a:ln>
          </c:spPr>
        </c:majorGridlines>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62031779"/>
        <c:crosses val="autoZero"/>
        <c:crossBetween val="midCat"/>
      </c:valAx>
      <c:spPr>
        <a:noFill/>
        <a:ln w="0">
          <a:noFill/>
        </a:ln>
      </c:spPr>
    </c:plotArea>
    <c:plotVisOnly val="1"/>
    <c:dispBlanksAs val="gap"/>
  </c:chart>
  <c:spPr>
    <a:solidFill>
      <a:srgbClr val="ffffff"/>
    </a:solidFill>
    <a:ln w="9360">
      <a:solidFill>
        <a:srgbClr val="d9d9d9"/>
      </a:solidFill>
      <a:round/>
    </a:ln>
  </c:spPr>
</c:chartSpace>
</file>

<file path=xl/charts/chart17.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800" spc="-1" strike="noStrike">
                <a:solidFill>
                  <a:srgbClr val="000000"/>
                </a:solidFill>
                <a:latin typeface="Calibri"/>
              </a:defRPr>
            </a:pPr>
            <a:r>
              <a:rPr b="1" lang="en-US" sz="1800" spc="-1" strike="noStrike">
                <a:solidFill>
                  <a:srgbClr val="000000"/>
                </a:solidFill>
                <a:latin typeface="Calibri"/>
              </a:rPr>
              <a:t>MAA Stabilized Implied Cap Rate vs. 10-Yr UST, with Spread (2016-2025)</a:t>
            </a:r>
          </a:p>
        </c:rich>
      </c:tx>
      <c:overlay val="0"/>
      <c:spPr>
        <a:noFill/>
        <a:ln w="0">
          <a:noFill/>
        </a:ln>
      </c:spPr>
    </c:title>
    <c:autoTitleDeleted val="0"/>
    <c:plotArea>
      <c:layout>
        <c:manualLayout>
          <c:layoutTarget val="inner"/>
          <c:xMode val="edge"/>
          <c:yMode val="edge"/>
          <c:x val="0.100043050634169"/>
          <c:y val="0.14014014014014"/>
          <c:w val="0.799450276517535"/>
          <c:h val="0.67967967967968"/>
        </c:manualLayout>
      </c:layout>
      <c:barChart>
        <c:barDir val="col"/>
        <c:grouping val="clustered"/>
        <c:varyColors val="0"/>
        <c:ser>
          <c:idx val="0"/>
          <c:order val="0"/>
          <c:tx>
            <c:strRef>
              <c:f>'MAA vs Market'!$D$3</c:f>
              <c:strCache>
                <c:ptCount val="1"/>
                <c:pt idx="0">
                  <c:v>Spread: Cap Rate less UST (pp)</c:v>
                </c:pt>
              </c:strCache>
            </c:strRef>
          </c:tx>
          <c:spPr>
            <a:solidFill>
              <a:srgbClr val="d9a0a8"/>
            </a:solidFill>
            <a:ln w="0">
              <a:solidFill>
                <a:srgbClr val="b87b85"/>
              </a:solidFill>
            </a:ln>
          </c:spPr>
          <c:invertIfNegative val="0"/>
          <c:dLbls>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'MAA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'MAA vs Market'!$D$4:$D$13</c:f>
              <c:numCache>
                <c:formatCode>0.00%</c:formatCode>
                <c:ptCount val="10"/>
                <c:pt idx="0">
                  <c:v>0.020016140398703</c:v>
                </c:pt>
                <c:pt idx="1">
                  <c:v>0.0347058809995666</c:v>
                </c:pt>
                <c:pt idx="2">
                  <c:v>0.0351466945737261</c:v>
                </c:pt>
                <c:pt idx="3">
                  <c:v>0.0323430106556146</c:v>
                </c:pt>
                <c:pt idx="4">
                  <c:v>0.0445528399502225</c:v>
                </c:pt>
                <c:pt idx="5">
                  <c:v>0.0199551750648325</c:v>
                </c:pt>
                <c:pt idx="6">
                  <c:v>0.0183301151901416</c:v>
                </c:pt>
                <c:pt idx="7">
                  <c:v>0.0294054496520018</c:v>
                </c:pt>
                <c:pt idx="8">
                  <c:v>0.0137464052819107</c:v>
                </c:pt>
                <c:pt idx="9">
                  <c:v>0.0217080694466279</c:v>
                </c:pt>
              </c:numCache>
            </c:numRef>
          </c:val>
        </c:ser>
        <c:gapWidth val="80"/>
        <c:overlap val="0"/>
        <c:axId val="68067778"/>
        <c:axId val="38298849"/>
      </c:barChart>
      <c:lineChart>
        <c:grouping val="standard"/>
        <c:varyColors val="0"/>
        <c:ser>
          <c:idx val="1"/>
          <c:order val="1"/>
          <c:tx>
            <c:strRef>
              <c:f>'MAA vs Market'!$B$3</c:f>
              <c:strCache>
                <c:ptCount val="1"/>
                <c:pt idx="0">
                  <c:v>MAA Stabilized Implied Cap Rate (%)</c:v>
                </c:pt>
              </c:strCache>
            </c:strRef>
          </c:tx>
          <c:spPr>
            <a:solidFill>
              <a:srgbClr val="a31f34"/>
            </a:solidFill>
            <a:ln w="28080">
              <a:solidFill>
                <a:srgbClr val="a31f34"/>
              </a:solidFill>
              <a:round/>
            </a:ln>
          </c:spPr>
          <c:marker>
            <c:symbol val="circle"/>
            <c:size val="6"/>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'MAA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'MAA vs Market'!$B$4:$B$13</c:f>
              <c:numCache>
                <c:formatCode>0.00%</c:formatCode>
                <c:ptCount val="10"/>
                <c:pt idx="0">
                  <c:v>0.044516140398703</c:v>
                </c:pt>
                <c:pt idx="1">
                  <c:v>0.0587058809995667</c:v>
                </c:pt>
                <c:pt idx="2">
                  <c:v>0.0620466945737261</c:v>
                </c:pt>
                <c:pt idx="3">
                  <c:v>0.0515430106556146</c:v>
                </c:pt>
                <c:pt idx="4">
                  <c:v>0.0538528399502225</c:v>
                </c:pt>
                <c:pt idx="5">
                  <c:v>0.0351551750648325</c:v>
                </c:pt>
                <c:pt idx="6">
                  <c:v>0.0571301151901416</c:v>
                </c:pt>
                <c:pt idx="7">
                  <c:v>0.0682054496520018</c:v>
                </c:pt>
                <c:pt idx="8">
                  <c:v>0.0595464052819107</c:v>
                </c:pt>
                <c:pt idx="9">
                  <c:v>0.0635080694466279</c:v>
                </c:pt>
              </c:numCache>
            </c:numRef>
          </c:val>
          <c:smooth val="0"/>
        </c:ser>
        <c:ser>
          <c:idx val="2"/>
          <c:order val="2"/>
          <c:tx>
            <c:strRef>
              <c:f>'MAA vs Market'!$C$3</c:f>
              <c:strCache>
                <c:ptCount val="1"/>
                <c:pt idx="0">
                  <c:v>10-Yr UST Yield (%)</c:v>
                </c:pt>
              </c:strCache>
            </c:strRef>
          </c:tx>
          <c:spPr>
            <a:solidFill>
              <a:srgbClr val="3a3a3a"/>
            </a:solidFill>
            <a:ln w="28080">
              <a:solidFill>
                <a:srgbClr val="3a3a3a"/>
              </a:solidFill>
              <a:round/>
            </a:ln>
          </c:spPr>
          <c:marker>
            <c:symbol val="circle"/>
            <c:size val="6"/>
            <c:spPr>
              <a:solidFill>
                <a:srgbClr val="3a3a3a"/>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'MAA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'MAA vs Market'!$C$4:$C$13</c:f>
              <c:numCache>
                <c:formatCode>0.00%</c:formatCode>
                <c:ptCount val="10"/>
                <c:pt idx="0">
                  <c:v>0.0245</c:v>
                </c:pt>
                <c:pt idx="1">
                  <c:v>0.024</c:v>
                </c:pt>
                <c:pt idx="2">
                  <c:v>0.0269</c:v>
                </c:pt>
                <c:pt idx="3">
                  <c:v>0.0192</c:v>
                </c:pt>
                <c:pt idx="4">
                  <c:v>0.0093</c:v>
                </c:pt>
                <c:pt idx="5">
                  <c:v>0.0152</c:v>
                </c:pt>
                <c:pt idx="6">
                  <c:v>0.0388</c:v>
                </c:pt>
                <c:pt idx="7">
                  <c:v>0.0388</c:v>
                </c:pt>
                <c:pt idx="8">
                  <c:v>0.0458</c:v>
                </c:pt>
                <c:pt idx="9">
                  <c:v>0.0418</c:v>
                </c:pt>
              </c:numCache>
            </c:numRef>
          </c:val>
          <c:smooth val="0"/>
        </c:ser>
        <c:hiLowLines>
          <c:spPr>
            <a:ln w="0">
              <a:noFill/>
            </a:ln>
          </c:spPr>
        </c:hiLowLines>
        <c:marker val="1"/>
        <c:axId val="5456295"/>
        <c:axId val="89411136"/>
      </c:lineChart>
      <c:catAx>
        <c:axId val="68067778"/>
        <c:scaling>
          <c:orientation val="minMax"/>
        </c:scaling>
        <c:delete val="0"/>
        <c:axPos val="b"/>
        <c:numFmt formatCode="General"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38298849"/>
        <c:crosses val="autoZero"/>
        <c:auto val="1"/>
        <c:lblAlgn val="ctr"/>
        <c:lblOffset val="100"/>
        <c:noMultiLvlLbl val="0"/>
      </c:catAx>
      <c:valAx>
        <c:axId val="38298849"/>
        <c:scaling>
          <c:orientation val="minMax"/>
        </c:scaling>
        <c:delete val="0"/>
        <c:axPos val="l"/>
        <c:majorGridlines>
          <c:spPr>
            <a:ln w="0">
              <a:solidFill>
                <a:srgbClr val="b3b3b3"/>
              </a:solidFill>
            </a:ln>
          </c:spPr>
        </c:majorGridlines>
        <c:title>
          <c:tx>
            <c:rich>
              <a:bodyPr rot="-5400000"/>
              <a:lstStyle/>
              <a:p>
                <a:pPr>
                  <a:defRPr b="1" lang="en-US" sz="1000" spc="-1" strike="noStrike">
                    <a:solidFill>
                      <a:srgbClr val="000000"/>
                    </a:solidFill>
                    <a:latin typeface="Calibri"/>
                  </a:defRPr>
                </a:pPr>
                <a:r>
                  <a:rPr b="1" lang="en-US" sz="1000" spc="-1" strike="noStrike">
                    <a:solidFill>
                      <a:srgbClr val="000000"/>
                    </a:solidFill>
                    <a:latin typeface="Calibri"/>
                  </a:rPr>
                  <a:t>Spread (pct pts)</a:t>
                </a:r>
              </a:p>
            </c:rich>
          </c:tx>
          <c:overlay val="0"/>
          <c:spPr>
            <a:noFill/>
            <a:ln w="0">
              <a:noFill/>
            </a:ln>
          </c:spPr>
        </c:title>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68067778"/>
        <c:crosses val="autoZero"/>
        <c:crossBetween val="between"/>
      </c:valAx>
      <c:catAx>
        <c:axId val="5456295"/>
        <c:scaling>
          <c:orientation val="minMax"/>
        </c:scaling>
        <c:delete val="1"/>
        <c:axPos val="t"/>
        <c:numFmt formatCode="General" sourceLinked="1"/>
        <c:majorTickMark val="none"/>
        <c:minorTickMark val="none"/>
        <c:tickLblPos val="none"/>
        <c:spPr>
          <a:ln w="0">
            <a:solidFill>
              <a:srgbClr val="b3b3b3"/>
            </a:solidFill>
          </a:ln>
        </c:spPr>
        <c:txPr>
          <a:bodyPr/>
          <a:lstStyle/>
          <a:p>
            <a:pPr>
              <a:defRPr b="0" sz="1000" spc="-1" strike="noStrike">
                <a:solidFill>
                  <a:srgbClr val="000000"/>
                </a:solidFill>
                <a:latin typeface="Calibri"/>
              </a:defRPr>
            </a:pPr>
          </a:p>
        </c:txPr>
        <c:crossAx val="89411136"/>
        <c:auto val="1"/>
        <c:lblAlgn val="ctr"/>
        <c:lblOffset val="100"/>
        <c:noMultiLvlLbl val="0"/>
      </c:catAx>
      <c:valAx>
        <c:axId val="89411136"/>
        <c:scaling>
          <c:orientation val="minMax"/>
        </c:scaling>
        <c:delete val="0"/>
        <c:axPos val="r"/>
        <c:title>
          <c:tx>
            <c:rich>
              <a:bodyPr rot="-5400000"/>
              <a:lstStyle/>
              <a:p>
                <a:pPr>
                  <a:defRPr b="1" lang="en-US" sz="1000" spc="-1" strike="noStrike">
                    <a:solidFill>
                      <a:srgbClr val="000000"/>
                    </a:solidFill>
                    <a:latin typeface="Calibri"/>
                  </a:defRPr>
                </a:pPr>
                <a:r>
                  <a:rPr b="1" lang="en-US" sz="1000" spc="-1" strike="noStrike">
                    <a:solidFill>
                      <a:srgbClr val="000000"/>
                    </a:solidFill>
                    <a:latin typeface="Calibri"/>
                  </a:rPr>
                  <a:t>Yield (%)</a:t>
                </a:r>
              </a:p>
            </c:rich>
          </c:tx>
          <c:overlay val="0"/>
          <c:spPr>
            <a:noFill/>
            <a:ln w="0">
              <a:noFill/>
            </a:ln>
          </c:spPr>
        </c:title>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5456295"/>
        <c:crosses val="max"/>
        <c:crossBetween val="between"/>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18.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800" spc="-1" strike="noStrike">
                <a:solidFill>
                  <a:srgbClr val="000000"/>
                </a:solidFill>
                <a:latin typeface="Calibri"/>
              </a:defRPr>
            </a:pPr>
            <a:r>
              <a:rPr b="1" lang="en-US" sz="1800" spc="-1" strike="noStrike">
                <a:solidFill>
                  <a:srgbClr val="000000"/>
                </a:solidFill>
                <a:latin typeface="Calibri"/>
              </a:rPr>
              <a:t>MAA: Cap Rate vs. Leveraged Equity Yield (2016-2025)</a:t>
            </a:r>
          </a:p>
        </c:rich>
      </c:tx>
      <c:overlay val="0"/>
      <c:spPr>
        <a:noFill/>
        <a:ln w="0">
          <a:noFill/>
        </a:ln>
      </c:spPr>
    </c:title>
    <c:autoTitleDeleted val="0"/>
    <c:plotArea>
      <c:layout>
        <c:manualLayout>
          <c:layoutTarget val="inner"/>
          <c:xMode val="edge"/>
          <c:yMode val="edge"/>
          <c:x val="0.100043050634169"/>
          <c:y val="0.14014014014014"/>
          <c:w val="0.799450276517535"/>
          <c:h val="0.67967967967968"/>
        </c:manualLayout>
      </c:layout>
      <c:barChart>
        <c:barDir val="col"/>
        <c:grouping val="clustered"/>
        <c:varyColors val="0"/>
        <c:ser>
          <c:idx val="0"/>
          <c:order val="0"/>
          <c:tx>
            <c:strRef>
              <c:f>'MAA vs Market'!$F$3</c:f>
              <c:strCache>
                <c:ptCount val="1"/>
                <c:pt idx="0">
                  <c:v>Leverage Contribution: Lev Yield less Cap Rate (pp)</c:v>
                </c:pt>
              </c:strCache>
            </c:strRef>
          </c:tx>
          <c:spPr>
            <a:solidFill>
              <a:srgbClr val="9dbb9d"/>
            </a:solidFill>
            <a:ln w="0">
              <a:solidFill>
                <a:srgbClr val="7a9a7a"/>
              </a:solidFill>
            </a:ln>
          </c:spPr>
          <c:invertIfNegative val="0"/>
          <c:dLbls>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'MAA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'MAA vs Market'!$F$4:$F$13</c:f>
              <c:numCache>
                <c:formatCode>0.00%</c:formatCode>
                <c:ptCount val="10"/>
                <c:pt idx="0">
                  <c:v>0.00643975448854894</c:v>
                </c:pt>
                <c:pt idx="1">
                  <c:v>0.00960088193958383</c:v>
                </c:pt>
                <c:pt idx="2">
                  <c:v>0.00985321131647991</c:v>
                </c:pt>
                <c:pt idx="3">
                  <c:v>0.00336527185194424</c:v>
                </c:pt>
                <c:pt idx="4">
                  <c:v>0.00549058545027473</c:v>
                </c:pt>
                <c:pt idx="5">
                  <c:v>0.000127364829346839</c:v>
                </c:pt>
                <c:pt idx="6">
                  <c:v>0.00548311379204439</c:v>
                </c:pt>
                <c:pt idx="7">
                  <c:v>0.0104377132453506</c:v>
                </c:pt>
                <c:pt idx="8">
                  <c:v>0.00725830145959343</c:v>
                </c:pt>
                <c:pt idx="9">
                  <c:v>0.00995929379059429</c:v>
                </c:pt>
              </c:numCache>
            </c:numRef>
          </c:val>
        </c:ser>
        <c:gapWidth val="80"/>
        <c:overlap val="0"/>
        <c:axId val="30431514"/>
        <c:axId val="35088843"/>
      </c:barChart>
      <c:lineChart>
        <c:grouping val="standard"/>
        <c:varyColors val="0"/>
        <c:ser>
          <c:idx val="1"/>
          <c:order val="1"/>
          <c:tx>
            <c:strRef>
              <c:f>'MAA vs Market'!$B$3</c:f>
              <c:strCache>
                <c:ptCount val="1"/>
                <c:pt idx="0">
                  <c:v>MAA Stabilized Implied Cap Rate (%)</c:v>
                </c:pt>
              </c:strCache>
            </c:strRef>
          </c:tx>
          <c:spPr>
            <a:solidFill>
              <a:srgbClr val="a31f34"/>
            </a:solidFill>
            <a:ln w="28080">
              <a:solidFill>
                <a:srgbClr val="a31f34"/>
              </a:solidFill>
              <a:round/>
            </a:ln>
          </c:spPr>
          <c:marker>
            <c:symbol val="circle"/>
            <c:size val="6"/>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'MAA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'MAA vs Market'!$B$4:$B$13</c:f>
              <c:numCache>
                <c:formatCode>0.00%</c:formatCode>
                <c:ptCount val="10"/>
                <c:pt idx="0">
                  <c:v>0.044516140398703</c:v>
                </c:pt>
                <c:pt idx="1">
                  <c:v>0.0587058809995667</c:v>
                </c:pt>
                <c:pt idx="2">
                  <c:v>0.0620466945737261</c:v>
                </c:pt>
                <c:pt idx="3">
                  <c:v>0.0515430106556146</c:v>
                </c:pt>
                <c:pt idx="4">
                  <c:v>0.0538528399502225</c:v>
                </c:pt>
                <c:pt idx="5">
                  <c:v>0.0351551750648325</c:v>
                </c:pt>
                <c:pt idx="6">
                  <c:v>0.0571301151901416</c:v>
                </c:pt>
                <c:pt idx="7">
                  <c:v>0.0682054496520018</c:v>
                </c:pt>
                <c:pt idx="8">
                  <c:v>0.0595464052819107</c:v>
                </c:pt>
                <c:pt idx="9">
                  <c:v>0.0635080694466279</c:v>
                </c:pt>
              </c:numCache>
            </c:numRef>
          </c:val>
          <c:smooth val="0"/>
        </c:ser>
        <c:ser>
          <c:idx val="2"/>
          <c:order val="2"/>
          <c:tx>
            <c:strRef>
              <c:f>'MAA vs Market'!$E$3</c:f>
              <c:strCache>
                <c:ptCount val="1"/>
                <c:pt idx="0">
                  <c:v>MAA Stabilized Leveraged Equity Yield (%)</c:v>
                </c:pt>
              </c:strCache>
            </c:strRef>
          </c:tx>
          <c:spPr>
            <a:solidFill>
              <a:srgbClr val="3a3a3a"/>
            </a:solidFill>
            <a:ln w="28080">
              <a:solidFill>
                <a:srgbClr val="3a3a3a"/>
              </a:solidFill>
              <a:round/>
            </a:ln>
          </c:spPr>
          <c:marker>
            <c:symbol val="circle"/>
            <c:size val="6"/>
            <c:spPr>
              <a:solidFill>
                <a:srgbClr val="3a3a3a"/>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'MAA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'MAA vs Market'!$E$4:$E$13</c:f>
              <c:numCache>
                <c:formatCode>0.00%</c:formatCode>
                <c:ptCount val="10"/>
                <c:pt idx="0">
                  <c:v>0.0509558948872519</c:v>
                </c:pt>
                <c:pt idx="1">
                  <c:v>0.0683067629391505</c:v>
                </c:pt>
                <c:pt idx="2">
                  <c:v>0.071899905890206</c:v>
                </c:pt>
                <c:pt idx="3">
                  <c:v>0.0549082825075589</c:v>
                </c:pt>
                <c:pt idx="4">
                  <c:v>0.0593434254004972</c:v>
                </c:pt>
                <c:pt idx="5">
                  <c:v>0.0352825398941794</c:v>
                </c:pt>
                <c:pt idx="6">
                  <c:v>0.062613228982186</c:v>
                </c:pt>
                <c:pt idx="7">
                  <c:v>0.0786431628973524</c:v>
                </c:pt>
                <c:pt idx="8">
                  <c:v>0.0668047067415041</c:v>
                </c:pt>
                <c:pt idx="9">
                  <c:v>0.0734673632372222</c:v>
                </c:pt>
              </c:numCache>
            </c:numRef>
          </c:val>
          <c:smooth val="0"/>
        </c:ser>
        <c:hiLowLines>
          <c:spPr>
            <a:ln w="0">
              <a:noFill/>
            </a:ln>
          </c:spPr>
        </c:hiLowLines>
        <c:marker val="1"/>
        <c:axId val="10380132"/>
        <c:axId val="96049755"/>
      </c:lineChart>
      <c:catAx>
        <c:axId val="30431514"/>
        <c:scaling>
          <c:orientation val="minMax"/>
        </c:scaling>
        <c:delete val="0"/>
        <c:axPos val="b"/>
        <c:numFmt formatCode="General"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35088843"/>
        <c:crosses val="autoZero"/>
        <c:auto val="1"/>
        <c:lblAlgn val="ctr"/>
        <c:lblOffset val="100"/>
        <c:noMultiLvlLbl val="0"/>
      </c:catAx>
      <c:valAx>
        <c:axId val="35088843"/>
        <c:scaling>
          <c:orientation val="minMax"/>
        </c:scaling>
        <c:delete val="0"/>
        <c:axPos val="l"/>
        <c:majorGridlines>
          <c:spPr>
            <a:ln w="0">
              <a:solidFill>
                <a:srgbClr val="b3b3b3"/>
              </a:solidFill>
            </a:ln>
          </c:spPr>
        </c:majorGridlines>
        <c:title>
          <c:tx>
            <c:rich>
              <a:bodyPr rot="-5400000"/>
              <a:lstStyle/>
              <a:p>
                <a:pPr>
                  <a:defRPr b="1" lang="en-US" sz="1000" spc="-1" strike="noStrike">
                    <a:solidFill>
                      <a:srgbClr val="000000"/>
                    </a:solidFill>
                    <a:latin typeface="Calibri"/>
                  </a:defRPr>
                </a:pPr>
                <a:r>
                  <a:rPr b="1" lang="en-US" sz="1000" spc="-1" strike="noStrike">
                    <a:solidFill>
                      <a:srgbClr val="000000"/>
                    </a:solidFill>
                    <a:latin typeface="Calibri"/>
                  </a:rPr>
                  <a:t>Leverage contribution (pct pts)</a:t>
                </a:r>
              </a:p>
            </c:rich>
          </c:tx>
          <c:overlay val="0"/>
          <c:spPr>
            <a:noFill/>
            <a:ln w="0">
              <a:noFill/>
            </a:ln>
          </c:spPr>
        </c:title>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30431514"/>
        <c:crosses val="autoZero"/>
        <c:crossBetween val="between"/>
      </c:valAx>
      <c:catAx>
        <c:axId val="10380132"/>
        <c:scaling>
          <c:orientation val="minMax"/>
        </c:scaling>
        <c:delete val="1"/>
        <c:axPos val="t"/>
        <c:numFmt formatCode="General" sourceLinked="1"/>
        <c:majorTickMark val="none"/>
        <c:minorTickMark val="none"/>
        <c:tickLblPos val="none"/>
        <c:spPr>
          <a:ln w="0">
            <a:solidFill>
              <a:srgbClr val="b3b3b3"/>
            </a:solidFill>
          </a:ln>
        </c:spPr>
        <c:txPr>
          <a:bodyPr/>
          <a:lstStyle/>
          <a:p>
            <a:pPr>
              <a:defRPr b="0" sz="1000" spc="-1" strike="noStrike">
                <a:solidFill>
                  <a:srgbClr val="000000"/>
                </a:solidFill>
                <a:latin typeface="Calibri"/>
              </a:defRPr>
            </a:pPr>
          </a:p>
        </c:txPr>
        <c:crossAx val="96049755"/>
        <c:auto val="1"/>
        <c:lblAlgn val="ctr"/>
        <c:lblOffset val="100"/>
        <c:noMultiLvlLbl val="0"/>
      </c:catAx>
      <c:valAx>
        <c:axId val="96049755"/>
        <c:scaling>
          <c:orientation val="minMax"/>
        </c:scaling>
        <c:delete val="0"/>
        <c:axPos val="r"/>
        <c:title>
          <c:tx>
            <c:rich>
              <a:bodyPr rot="-5400000"/>
              <a:lstStyle/>
              <a:p>
                <a:pPr>
                  <a:defRPr b="1" lang="en-US" sz="1000" spc="-1" strike="noStrike">
                    <a:solidFill>
                      <a:srgbClr val="000000"/>
                    </a:solidFill>
                    <a:latin typeface="Calibri"/>
                  </a:defRPr>
                </a:pPr>
                <a:r>
                  <a:rPr b="1" lang="en-US" sz="1000" spc="-1" strike="noStrike">
                    <a:solidFill>
                      <a:srgbClr val="000000"/>
                    </a:solidFill>
                    <a:latin typeface="Calibri"/>
                  </a:rPr>
                  <a:t>Yield (%)</a:t>
                </a:r>
              </a:p>
            </c:rich>
          </c:tx>
          <c:overlay val="0"/>
          <c:spPr>
            <a:noFill/>
            <a:ln w="0">
              <a:noFill/>
            </a:ln>
          </c:spPr>
        </c:title>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10380132"/>
        <c:crosses val="max"/>
        <c:crossBetween val="between"/>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19.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Annual NOI (labeled YoY growth) and Stabilized TEV: Gross NOI Multiple (2016-2025)</a:t>
            </a:r>
          </a:p>
        </c:rich>
      </c:tx>
      <c:overlay val="0"/>
      <c:spPr>
        <a:noFill/>
        <a:ln w="0">
          <a:noFill/>
        </a:ln>
      </c:spPr>
    </c:title>
    <c:autoTitleDeleted val="0"/>
    <c:plotArea>
      <c:layout>
        <c:manualLayout>
          <c:layoutTarget val="inner"/>
          <c:xMode val="edge"/>
          <c:yMode val="edge"/>
          <c:x val="0.0900420571579958"/>
          <c:y val="0.2002002002002"/>
          <c:w val="0.819485379342319"/>
          <c:h val="0.55955955955956"/>
        </c:manualLayout>
      </c:layout>
      <c:barChart>
        <c:barDir val="col"/>
        <c:grouping val="stacked"/>
        <c:varyColors val="0"/>
        <c:ser>
          <c:idx val="0"/>
          <c:order val="0"/>
          <c:tx>
            <c:strRef>
              <c:f>"Annual NOI ($M)"</c:f>
              <c:strCache>
                <c:ptCount val="1"/>
                <c:pt idx="0">
                  <c:v>Annual NOI ($M)</c:v>
                </c:pt>
              </c:strCache>
            </c:strRef>
          </c:tx>
          <c:spPr>
            <a:solidFill>
              <a:srgbClr val="a31f34"/>
            </a:solidFill>
            <a:ln w="0">
              <a:noFill/>
            </a:ln>
          </c:spPr>
          <c:invertIfNegative val="0"/>
          <c:dPt>
            <c:idx val="1"/>
            <c:invertIfNegative val="0"/>
            <c:spPr>
              <a:solidFill>
                <a:srgbClr val="a31f34"/>
              </a:solidFill>
              <a:ln w="0">
                <a:noFill/>
              </a:ln>
            </c:spPr>
          </c:dPt>
          <c:dPt>
            <c:idx val="2"/>
            <c:invertIfNegative val="0"/>
            <c:spPr>
              <a:solidFill>
                <a:srgbClr val="a31f34"/>
              </a:solidFill>
              <a:ln w="0">
                <a:noFill/>
              </a:ln>
            </c:spPr>
          </c:dPt>
          <c:dPt>
            <c:idx val="3"/>
            <c:invertIfNegative val="0"/>
            <c:spPr>
              <a:solidFill>
                <a:srgbClr val="a31f34"/>
              </a:solidFill>
              <a:ln w="0">
                <a:noFill/>
              </a:ln>
            </c:spPr>
          </c:dPt>
          <c:dPt>
            <c:idx val="4"/>
            <c:invertIfNegative val="0"/>
            <c:spPr>
              <a:solidFill>
                <a:srgbClr val="a31f34"/>
              </a:solidFill>
              <a:ln w="0">
                <a:noFill/>
              </a:ln>
            </c:spPr>
          </c:dPt>
          <c:dPt>
            <c:idx val="5"/>
            <c:invertIfNegative val="0"/>
            <c:spPr>
              <a:solidFill>
                <a:srgbClr val="a31f34"/>
              </a:solidFill>
              <a:ln w="0">
                <a:noFill/>
              </a:ln>
            </c:spPr>
          </c:dPt>
          <c:dPt>
            <c:idx val="6"/>
            <c:invertIfNegative val="0"/>
            <c:spPr>
              <a:solidFill>
                <a:srgbClr val="a31f34"/>
              </a:solidFill>
              <a:ln w="0">
                <a:noFill/>
              </a:ln>
            </c:spPr>
          </c:dPt>
          <c:dPt>
            <c:idx val="7"/>
            <c:invertIfNegative val="0"/>
            <c:spPr>
              <a:solidFill>
                <a:srgbClr val="a31f34"/>
              </a:solidFill>
              <a:ln w="0">
                <a:noFill/>
              </a:ln>
            </c:spPr>
          </c:dPt>
          <c:dPt>
            <c:idx val="8"/>
            <c:invertIfNegative val="0"/>
            <c:spPr>
              <a:solidFill>
                <a:srgbClr val="a31f34"/>
              </a:solidFill>
              <a:ln w="0">
                <a:noFill/>
              </a:ln>
            </c:spPr>
          </c:dPt>
          <c:dPt>
            <c:idx val="9"/>
            <c:invertIfNegative val="0"/>
            <c:spPr>
              <a:solidFill>
                <a:srgbClr val="a31f34"/>
              </a:solidFill>
              <a:ln w="0">
                <a:noFill/>
              </a:ln>
            </c:spPr>
          </c:dPt>
          <c:dLbls>
            <c:dLbl>
              <c:idx val="1"/>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+36%</a:t>
                    </a:r>
                  </a:p>
                </c:rich>
              </c:tx>
              <c:dLblPos val="inEnd"/>
              <c:showLegendKey val="0"/>
              <c:showVal val="0"/>
              <c:showCatName val="0"/>
              <c:showSerName val="0"/>
              <c:showPercent val="0"/>
              <c:separator>; </c:separator>
            </c:dLbl>
            <c:dLbl>
              <c:idx val="2"/>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+3%</a:t>
                    </a:r>
                  </a:p>
                </c:rich>
              </c:tx>
              <c:dLblPos val="inEnd"/>
              <c:showLegendKey val="0"/>
              <c:showVal val="0"/>
              <c:showCatName val="0"/>
              <c:showSerName val="0"/>
              <c:showPercent val="0"/>
              <c:separator>; </c:separator>
            </c:dLbl>
            <c:dLbl>
              <c:idx val="3"/>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+5%</a:t>
                    </a:r>
                  </a:p>
                </c:rich>
              </c:tx>
              <c:dLblPos val="inEnd"/>
              <c:showLegendKey val="0"/>
              <c:showVal val="0"/>
              <c:showCatName val="0"/>
              <c:showSerName val="0"/>
              <c:showPercent val="0"/>
              <c:separator>; </c:separator>
            </c:dLbl>
            <c:dLbl>
              <c:idx val="4"/>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+1%</a:t>
                    </a:r>
                  </a:p>
                </c:rich>
              </c:tx>
              <c:dLblPos val="inEnd"/>
              <c:showLegendKey val="0"/>
              <c:showVal val="0"/>
              <c:showCatName val="0"/>
              <c:showSerName val="0"/>
              <c:showPercent val="0"/>
              <c:separator>; </c:separator>
            </c:dLbl>
            <c:dLbl>
              <c:idx val="5"/>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+7%</a:t>
                    </a:r>
                  </a:p>
                </c:rich>
              </c:tx>
              <c:dLblPos val="inEnd"/>
              <c:showLegendKey val="0"/>
              <c:showVal val="0"/>
              <c:showCatName val="0"/>
              <c:showSerName val="0"/>
              <c:showPercent val="0"/>
              <c:separator>; </c:separator>
            </c:dLbl>
            <c:dLbl>
              <c:idx val="6"/>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+17%</a:t>
                    </a:r>
                  </a:p>
                </c:rich>
              </c:tx>
              <c:dLblPos val="inEnd"/>
              <c:showLegendKey val="0"/>
              <c:showVal val="0"/>
              <c:showCatName val="0"/>
              <c:showSerName val="0"/>
              <c:showPercent val="0"/>
              <c:separator>; </c:separator>
            </c:dLbl>
            <c:dLbl>
              <c:idx val="7"/>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+6%</a:t>
                    </a:r>
                  </a:p>
                </c:rich>
              </c:tx>
              <c:dLblPos val="inEnd"/>
              <c:showLegendKey val="0"/>
              <c:showVal val="0"/>
              <c:showCatName val="0"/>
              <c:showSerName val="0"/>
              <c:showPercent val="0"/>
              <c:separator>; </c:separator>
            </c:dLbl>
            <c:dLbl>
              <c:idx val="8"/>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-1%</a:t>
                    </a:r>
                  </a:p>
                </c:rich>
              </c:tx>
              <c:dLblPos val="inEnd"/>
              <c:showLegendKey val="0"/>
              <c:showVal val="0"/>
              <c:showCatName val="0"/>
              <c:showSerName val="0"/>
              <c:showPercent val="0"/>
              <c:separator>; </c:separator>
            </c:dLbl>
            <c:dLbl>
              <c:idx val="9"/>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0%</a:t>
                    </a:r>
                  </a:p>
                </c:rich>
              </c:tx>
              <c:dLblPos val="inEnd"/>
              <c:showLegendKey val="0"/>
              <c:showVal val="0"/>
              <c:showCatName val="0"/>
              <c:showSerName val="0"/>
              <c:showPercent val="0"/>
              <c:separator>; </c:separator>
            </c:dLbl>
            <c:txPr>
              <a:bodyPr wrap="square"/>
              <a:lstStyle/>
              <a:p>
                <a:pPr>
                  <a:defRPr b="0" sz="1000" spc="-1" strike="noStrike">
                    <a:solidFill>
                      <a:srgbClr val="000000"/>
                    </a:solidFill>
                    <a:latin typeface="Calibri"/>
                  </a:defRPr>
                </a:pPr>
              </a:p>
            </c:txPr>
            <c:dLblPos val="ct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'MAA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'MAA vs Market'!$L$4:$L$13</c:f>
              <c:numCache>
                <c:formatCode>#,##0</c:formatCode>
                <c:ptCount val="10"/>
                <c:pt idx="0">
                  <c:v>701.992</c:v>
                </c:pt>
                <c:pt idx="1">
                  <c:v>952.256</c:v>
                </c:pt>
                <c:pt idx="2">
                  <c:v>976.758</c:v>
                </c:pt>
                <c:pt idx="3">
                  <c:v>1028.172</c:v>
                </c:pt>
                <c:pt idx="4">
                  <c:v>1037.513</c:v>
                </c:pt>
                <c:pt idx="5">
                  <c:v>1106.917</c:v>
                </c:pt>
                <c:pt idx="6">
                  <c:v>1296.172</c:v>
                </c:pt>
                <c:pt idx="7">
                  <c:v>1380.327</c:v>
                </c:pt>
                <c:pt idx="8">
                  <c:v>1370.923</c:v>
                </c:pt>
                <c:pt idx="9">
                  <c:v>1371.319</c:v>
                </c:pt>
              </c:numCache>
            </c:numRef>
          </c:val>
        </c:ser>
        <c:ser>
          <c:idx val="1"/>
          <c:order val="1"/>
          <c:tx>
            <c:strRef>
              <c:f>"Stabilized TEV less NOI ($M)"</c:f>
              <c:strCache>
                <c:ptCount val="1"/>
                <c:pt idx="0">
                  <c:v>Stabilized TEV less NOI ($M)</c:v>
                </c:pt>
              </c:strCache>
            </c:strRef>
          </c:tx>
          <c:spPr>
            <a:solidFill>
              <a:srgbClr val="d9d9d9"/>
            </a:solidFill>
            <a:ln w="0">
              <a:noFill/>
            </a:ln>
          </c:spPr>
          <c:invertIfNegative val="0"/>
          <c:dLbls>
            <c:txPr>
              <a:bodyPr wrap="square"/>
              <a:lstStyle/>
              <a:p>
                <a:pPr>
                  <a:defRPr b="0" sz="1000" spc="-1" strike="noStrike">
                    <a:solidFill>
                      <a:srgbClr val="000000"/>
                    </a:solidFill>
                    <a:latin typeface="Calibri"/>
                  </a:defRPr>
                </a:pPr>
              </a:p>
            </c:txPr>
            <c:dLblPos val="ct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'MAA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'MAA vs Market'!$Q$4:$Q$13</c:f>
              <c:numCache>
                <c:formatCode>#,##0</c:formatCode>
                <c:ptCount val="10"/>
                <c:pt idx="0">
                  <c:v>15067.3894808</c:v>
                </c:pt>
                <c:pt idx="1">
                  <c:v>15268.53796112</c:v>
                </c:pt>
                <c:pt idx="2">
                  <c:v>14765.5471576</c:v>
                </c:pt>
                <c:pt idx="3">
                  <c:v>18919.67324462</c:v>
                </c:pt>
                <c:pt idx="4">
                  <c:v>18228.19333896</c:v>
                </c:pt>
                <c:pt idx="5">
                  <c:v>30379.68484336</c:v>
                </c:pt>
                <c:pt idx="6">
                  <c:v>21391.89708031</c:v>
                </c:pt>
                <c:pt idx="7">
                  <c:v>18857.45468816</c:v>
                </c:pt>
                <c:pt idx="8">
                  <c:v>21651.84375661</c:v>
                </c:pt>
                <c:pt idx="9">
                  <c:v>20221.51183156</c:v>
                </c:pt>
              </c:numCache>
            </c:numRef>
          </c:val>
        </c:ser>
        <c:gapWidth val="150"/>
        <c:overlap val="100"/>
        <c:axId val="60618079"/>
        <c:axId val="68121655"/>
      </c:barChart>
      <c:lineChart>
        <c:grouping val="stacked"/>
        <c:varyColors val="0"/>
        <c:ser>
          <c:idx val="2"/>
          <c:order val="2"/>
          <c:tx>
            <c:strRef>
              <c:f>"Gross NOI Multiple (right)"</c:f>
              <c:strCache>
                <c:ptCount val="1"/>
                <c:pt idx="0">
                  <c:v>Gross NOI Multiple (right)</c:v>
                </c:pt>
              </c:strCache>
            </c:strRef>
          </c:tx>
          <c:spPr>
            <a:solidFill>
              <a:srgbClr val="1f3b57"/>
            </a:solidFill>
            <a:ln w="28440">
              <a:solidFill>
                <a:srgbClr val="1f3b57"/>
              </a:solidFill>
              <a:round/>
            </a:ln>
          </c:spPr>
          <c:marker>
            <c:symbol val="circle"/>
            <c:size val="5"/>
            <c:spPr>
              <a:solidFill>
                <a:srgbClr val="1f3b57"/>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'MAA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'MAA vs Market'!$J$4:$J$13</c:f>
              <c:numCache>
                <c:formatCode>0.0</c:formatCode>
                <c:ptCount val="10"/>
                <c:pt idx="0">
                  <c:v>22.4637623801981</c:v>
                </c:pt>
                <c:pt idx="1">
                  <c:v>17.034068528967</c:v>
                </c:pt>
                <c:pt idx="2">
                  <c:v>16.1168940081371</c:v>
                </c:pt>
                <c:pt idx="3">
                  <c:v>19.4012725931264</c:v>
                </c:pt>
                <c:pt idx="4">
                  <c:v>18.569122834085</c:v>
                </c:pt>
                <c:pt idx="5">
                  <c:v>28.4453141864837</c:v>
                </c:pt>
                <c:pt idx="6">
                  <c:v>17.5039030933472</c:v>
                </c:pt>
                <c:pt idx="7">
                  <c:v>14.6615850361255</c:v>
                </c:pt>
                <c:pt idx="8">
                  <c:v>16.7936249932418</c:v>
                </c:pt>
                <c:pt idx="9">
                  <c:v>15.7460305235762</c:v>
                </c:pt>
              </c:numCache>
            </c:numRef>
          </c:val>
          <c:smooth val="0"/>
        </c:ser>
        <c:hiLowLines>
          <c:spPr>
            <a:ln w="0">
              <a:noFill/>
            </a:ln>
          </c:spPr>
        </c:hiLowLines>
        <c:marker val="1"/>
        <c:axId val="76093008"/>
        <c:axId val="33828184"/>
      </c:lineChart>
      <c:catAx>
        <c:axId val="60618079"/>
        <c:scaling>
          <c:orientation val="minMax"/>
        </c:scaling>
        <c:delete val="0"/>
        <c:axPos val="b"/>
        <c:numFmt formatCode="General"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68121655"/>
        <c:crosses val="autoZero"/>
        <c:auto val="1"/>
        <c:lblAlgn val="ctr"/>
        <c:lblOffset val="100"/>
        <c:noMultiLvlLbl val="0"/>
      </c:catAx>
      <c:valAx>
        <c:axId val="68121655"/>
        <c:scaling>
          <c:orientation val="minMax"/>
          <c:min val="0"/>
        </c:scaling>
        <c:delete val="0"/>
        <c:axPos val="l"/>
        <c:majorGridlines>
          <c:spPr>
            <a:ln w="0">
              <a:solidFill>
                <a:srgbClr val="b3b3b3"/>
              </a:solidFill>
            </a:ln>
          </c:spPr>
        </c:majorGridlines>
        <c:numFmt formatCode="#,##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60618079"/>
        <c:crosses val="autoZero"/>
        <c:crossBetween val="between"/>
      </c:valAx>
      <c:catAx>
        <c:axId val="76093008"/>
        <c:scaling>
          <c:orientation val="minMax"/>
        </c:scaling>
        <c:delete val="1"/>
        <c:axPos val="t"/>
        <c:numFmt formatCode="General" sourceLinked="1"/>
        <c:majorTickMark val="none"/>
        <c:minorTickMark val="none"/>
        <c:tickLblPos val="none"/>
        <c:spPr>
          <a:ln w="0">
            <a:solidFill>
              <a:srgbClr val="b3b3b3"/>
            </a:solidFill>
          </a:ln>
        </c:spPr>
        <c:txPr>
          <a:bodyPr/>
          <a:lstStyle/>
          <a:p>
            <a:pPr>
              <a:defRPr b="0" sz="1000" spc="-1" strike="noStrike">
                <a:solidFill>
                  <a:srgbClr val="000000"/>
                </a:solidFill>
                <a:latin typeface="Calibri"/>
              </a:defRPr>
            </a:pPr>
          </a:p>
        </c:txPr>
        <c:crossAx val="33828184"/>
        <c:auto val="1"/>
        <c:lblAlgn val="ctr"/>
        <c:lblOffset val="100"/>
        <c:noMultiLvlLbl val="0"/>
      </c:catAx>
      <c:valAx>
        <c:axId val="33828184"/>
        <c:scaling>
          <c:orientation val="minMax"/>
        </c:scaling>
        <c:delete val="0"/>
        <c:axPos val="r"/>
        <c:numFmt formatCode="0.0\x"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76093008"/>
        <c:crosses val="max"/>
        <c:crossBetween val="between"/>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2.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Inflation and the Cost of Debt: CPI vs. Prime Rate (2016-2025)
2022: CPI averaged 8.0% while the prime rate averaged 4.9%; the prime rate followed to 8.3% by 2023.</a:t>
            </a:r>
          </a:p>
        </c:rich>
      </c:tx>
      <c:overlay val="0"/>
      <c:spPr>
        <a:noFill/>
        <a:ln w="0">
          <a:noFill/>
        </a:ln>
      </c:spPr>
    </c:title>
    <c:autoTitleDeleted val="0"/>
    <c:plotArea>
      <c:layout>
        <c:manualLayout>
          <c:layoutTarget val="inner"/>
          <c:xMode val="edge"/>
          <c:yMode val="edge"/>
          <c:x val="0.100043050634169"/>
          <c:y val="0.16016016016016"/>
          <c:w val="0.799450276517535"/>
          <c:h val="0.61961961961962"/>
        </c:manualLayout>
      </c:layout>
      <c:scatterChart>
        <c:scatterStyle val="lineMarker"/>
        <c:varyColors val="0"/>
        <c:ser>
          <c:idx val="0"/>
          <c:order val="0"/>
          <c:tx>
            <c:strRef>
              <c:f>"Bank Prime Loan Rate"</c:f>
              <c:strCache>
                <c:ptCount val="1"/>
                <c:pt idx="0">
                  <c:v>Bank Prime Loan Rate</c:v>
                </c:pt>
              </c:strCache>
            </c:strRef>
          </c:tx>
          <c:spPr>
            <a:solidFill>
              <a:srgbClr val="8a8a8a"/>
            </a:solidFill>
            <a:ln w="28440">
              <a:solidFill>
                <a:srgbClr val="8a8a8a"/>
              </a:solidFill>
              <a:round/>
            </a:ln>
          </c:spPr>
          <c:marker>
            <c:symbol val="triangle"/>
            <c:size val="5"/>
            <c:spPr>
              <a:solidFill>
                <a:srgbClr val="8a8a8a"/>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'AVB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'AVB vs Market'!$P$4:$P$13</c:f>
              <c:numCache>
                <c:formatCode>0.00%</c:formatCode>
                <c:ptCount val="10"/>
                <c:pt idx="0">
                  <c:v>0.0351</c:v>
                </c:pt>
                <c:pt idx="1">
                  <c:v>0.041</c:v>
                </c:pt>
                <c:pt idx="2">
                  <c:v>0.049</c:v>
                </c:pt>
                <c:pt idx="3">
                  <c:v>0.0528</c:v>
                </c:pt>
                <c:pt idx="4">
                  <c:v>0.0354</c:v>
                </c:pt>
                <c:pt idx="5">
                  <c:v>0.0325</c:v>
                </c:pt>
                <c:pt idx="6">
                  <c:v>0.0485</c:v>
                </c:pt>
                <c:pt idx="7">
                  <c:v>0.0819</c:v>
                </c:pt>
                <c:pt idx="8">
                  <c:v>0.0831</c:v>
                </c:pt>
                <c:pt idx="9">
                  <c:v>0.0737</c:v>
                </c:pt>
              </c:numCache>
            </c:numRef>
          </c:yVal>
          <c:smooth val="0"/>
        </c:ser>
        <c:ser>
          <c:idx val="1"/>
          <c:order val="1"/>
          <c:tx>
            <c:strRef>
              <c:f>"CPI Inflation (annual avg, YoY)"</c:f>
              <c:strCache>
                <c:ptCount val="1"/>
                <c:pt idx="0">
                  <c:v>CPI Inflation (annual avg, YoY)</c:v>
                </c:pt>
              </c:strCache>
            </c:strRef>
          </c:tx>
          <c:spPr>
            <a:solidFill>
              <a:srgbClr val="c08a00"/>
            </a:solidFill>
            <a:ln w="28440">
              <a:solidFill>
                <a:srgbClr val="c08a00"/>
              </a:solidFill>
              <a:round/>
            </a:ln>
          </c:spPr>
          <c:marker>
            <c:symbol val="diamond"/>
            <c:size val="5"/>
            <c:spPr>
              <a:solidFill>
                <a:srgbClr val="c08a00"/>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'AVB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'AVB vs Market'!$S$4:$S$13</c:f>
              <c:numCache>
                <c:formatCode>0.00%</c:formatCode>
                <c:ptCount val="10"/>
                <c:pt idx="0">
                  <c:v>0.0126707791495431</c:v>
                </c:pt>
                <c:pt idx="1">
                  <c:v>0.0213162225786963</c:v>
                </c:pt>
                <c:pt idx="2">
                  <c:v>0.0243920349541655</c:v>
                </c:pt>
                <c:pt idx="3">
                  <c:v>0.0181322182397452</c:v>
                </c:pt>
                <c:pt idx="4">
                  <c:v>0.0125287010127009</c:v>
                </c:pt>
                <c:pt idx="5">
                  <c:v>0.0468098093148315</c:v>
                </c:pt>
                <c:pt idx="6">
                  <c:v>0.0799083303502561</c:v>
                </c:pt>
                <c:pt idx="7">
                  <c:v>0.0412711105643382</c:v>
                </c:pt>
                <c:pt idx="8">
                  <c:v>0.0295205495187116</c:v>
                </c:pt>
                <c:pt idx="9">
                  <c:v>0.0263438083762091</c:v>
                </c:pt>
              </c:numCache>
            </c:numRef>
          </c:yVal>
          <c:smooth val="0"/>
        </c:ser>
        <c:axId val="67930981"/>
        <c:axId val="83075922"/>
      </c:scatterChart>
      <c:valAx>
        <c:axId val="67930981"/>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83075922"/>
        <c:crosses val="autoZero"/>
        <c:crossBetween val="midCat"/>
        <c:majorUnit val="1"/>
      </c:valAx>
      <c:valAx>
        <c:axId val="83075922"/>
        <c:scaling>
          <c:orientation val="minMax"/>
        </c:scaling>
        <c:delete val="0"/>
        <c:axPos val="l"/>
        <c:majorGridlines>
          <c:spPr>
            <a:ln w="0">
              <a:solidFill>
                <a:srgbClr val="b3b3b3"/>
              </a:solidFill>
            </a:ln>
          </c:spPr>
        </c:majorGridlines>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67930981"/>
        <c:crosses val="autoZero"/>
        <c:crossBetween val="midCat"/>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20.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Leveraged Cash Flow (labeled YoY growth) and Stabilized Market Cap: Leveraged NOI Multiple (2016-2025)</a:t>
            </a:r>
          </a:p>
        </c:rich>
      </c:tx>
      <c:overlay val="0"/>
      <c:spPr>
        <a:noFill/>
        <a:ln w="0">
          <a:noFill/>
        </a:ln>
      </c:spPr>
    </c:title>
    <c:autoTitleDeleted val="0"/>
    <c:plotArea>
      <c:layout>
        <c:manualLayout>
          <c:layoutTarget val="inner"/>
          <c:xMode val="edge"/>
          <c:yMode val="edge"/>
          <c:x val="0.0900420571579958"/>
          <c:y val="0.2002002002002"/>
          <c:w val="0.819485379342319"/>
          <c:h val="0.55955955955956"/>
        </c:manualLayout>
      </c:layout>
      <c:barChart>
        <c:barDir val="col"/>
        <c:grouping val="stacked"/>
        <c:varyColors val="0"/>
        <c:ser>
          <c:idx val="0"/>
          <c:order val="0"/>
          <c:tx>
            <c:strRef>
              <c:f>"Leveraged Property Cash Flow ($M)"</c:f>
              <c:strCache>
                <c:ptCount val="1"/>
                <c:pt idx="0">
                  <c:v>Leveraged Property Cash Flow ($M)</c:v>
                </c:pt>
              </c:strCache>
            </c:strRef>
          </c:tx>
          <c:spPr>
            <a:solidFill>
              <a:srgbClr val="a31f34"/>
            </a:solidFill>
            <a:ln w="0">
              <a:noFill/>
            </a:ln>
          </c:spPr>
          <c:invertIfNegative val="0"/>
          <c:dPt>
            <c:idx val="1"/>
            <c:invertIfNegative val="0"/>
            <c:spPr>
              <a:solidFill>
                <a:srgbClr val="a31f34"/>
              </a:solidFill>
              <a:ln w="0">
                <a:noFill/>
              </a:ln>
            </c:spPr>
          </c:dPt>
          <c:dPt>
            <c:idx val="2"/>
            <c:invertIfNegative val="0"/>
            <c:spPr>
              <a:solidFill>
                <a:srgbClr val="a31f34"/>
              </a:solidFill>
              <a:ln w="0">
                <a:noFill/>
              </a:ln>
            </c:spPr>
          </c:dPt>
          <c:dPt>
            <c:idx val="3"/>
            <c:invertIfNegative val="0"/>
            <c:spPr>
              <a:solidFill>
                <a:srgbClr val="a31f34"/>
              </a:solidFill>
              <a:ln w="0">
                <a:noFill/>
              </a:ln>
            </c:spPr>
          </c:dPt>
          <c:dPt>
            <c:idx val="4"/>
            <c:invertIfNegative val="0"/>
            <c:spPr>
              <a:solidFill>
                <a:srgbClr val="a31f34"/>
              </a:solidFill>
              <a:ln w="0">
                <a:noFill/>
              </a:ln>
            </c:spPr>
          </c:dPt>
          <c:dPt>
            <c:idx val="5"/>
            <c:invertIfNegative val="0"/>
            <c:spPr>
              <a:solidFill>
                <a:srgbClr val="a31f34"/>
              </a:solidFill>
              <a:ln w="0">
                <a:noFill/>
              </a:ln>
            </c:spPr>
          </c:dPt>
          <c:dPt>
            <c:idx val="6"/>
            <c:invertIfNegative val="0"/>
            <c:spPr>
              <a:solidFill>
                <a:srgbClr val="a31f34"/>
              </a:solidFill>
              <a:ln w="0">
                <a:noFill/>
              </a:ln>
            </c:spPr>
          </c:dPt>
          <c:dPt>
            <c:idx val="7"/>
            <c:invertIfNegative val="0"/>
            <c:spPr>
              <a:solidFill>
                <a:srgbClr val="a31f34"/>
              </a:solidFill>
              <a:ln w="0">
                <a:noFill/>
              </a:ln>
            </c:spPr>
          </c:dPt>
          <c:dPt>
            <c:idx val="8"/>
            <c:invertIfNegative val="0"/>
            <c:spPr>
              <a:solidFill>
                <a:srgbClr val="a31f34"/>
              </a:solidFill>
              <a:ln w="0">
                <a:noFill/>
              </a:ln>
            </c:spPr>
          </c:dPt>
          <c:dPt>
            <c:idx val="9"/>
            <c:invertIfNegative val="0"/>
            <c:spPr>
              <a:solidFill>
                <a:srgbClr val="a31f34"/>
              </a:solidFill>
              <a:ln w="0">
                <a:noFill/>
              </a:ln>
            </c:spPr>
          </c:dPt>
          <c:dLbls>
            <c:dLbl>
              <c:idx val="1"/>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+39%</a:t>
                    </a:r>
                  </a:p>
                </c:rich>
              </c:tx>
              <c:dLblPos val="inEnd"/>
              <c:showLegendKey val="0"/>
              <c:showVal val="0"/>
              <c:showCatName val="0"/>
              <c:showSerName val="0"/>
              <c:showPercent val="0"/>
              <c:separator>; </c:separator>
            </c:dLbl>
            <c:dLbl>
              <c:idx val="2"/>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+1%</a:t>
                    </a:r>
                  </a:p>
                </c:rich>
              </c:tx>
              <c:dLblPos val="inEnd"/>
              <c:showLegendKey val="0"/>
              <c:showVal val="0"/>
              <c:showCatName val="0"/>
              <c:showSerName val="0"/>
              <c:showPercent val="0"/>
              <c:separator>; </c:separator>
            </c:dLbl>
            <c:dLbl>
              <c:idx val="3"/>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+6%</a:t>
                    </a:r>
                  </a:p>
                </c:rich>
              </c:tx>
              <c:dLblPos val="inEnd"/>
              <c:showLegendKey val="0"/>
              <c:showVal val="0"/>
              <c:showCatName val="0"/>
              <c:showSerName val="0"/>
              <c:showPercent val="0"/>
              <c:separator>; </c:separator>
            </c:dLbl>
            <c:dLbl>
              <c:idx val="4"/>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+3%</a:t>
                    </a:r>
                  </a:p>
                </c:rich>
              </c:tx>
              <c:dLblPos val="inEnd"/>
              <c:showLegendKey val="0"/>
              <c:showVal val="0"/>
              <c:showCatName val="0"/>
              <c:showSerName val="0"/>
              <c:showPercent val="0"/>
              <c:separator>; </c:separator>
            </c:dLbl>
            <c:dLbl>
              <c:idx val="5"/>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+9%</a:t>
                    </a:r>
                  </a:p>
                </c:rich>
              </c:tx>
              <c:dLblPos val="inEnd"/>
              <c:showLegendKey val="0"/>
              <c:showVal val="0"/>
              <c:showCatName val="0"/>
              <c:showSerName val="0"/>
              <c:showPercent val="0"/>
              <c:separator>; </c:separator>
            </c:dLbl>
            <c:dLbl>
              <c:idx val="6"/>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+20%</a:t>
                    </a:r>
                  </a:p>
                </c:rich>
              </c:tx>
              <c:dLblPos val="inEnd"/>
              <c:showLegendKey val="0"/>
              <c:showVal val="0"/>
              <c:showCatName val="0"/>
              <c:showSerName val="0"/>
              <c:showPercent val="0"/>
              <c:separator>; </c:separator>
            </c:dLbl>
            <c:dLbl>
              <c:idx val="7"/>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+8%</a:t>
                    </a:r>
                  </a:p>
                </c:rich>
              </c:tx>
              <c:dLblPos val="inEnd"/>
              <c:showLegendKey val="0"/>
              <c:showVal val="0"/>
              <c:showCatName val="0"/>
              <c:showSerName val="0"/>
              <c:showPercent val="0"/>
              <c:separator>; </c:separator>
            </c:dLbl>
            <c:dLbl>
              <c:idx val="8"/>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-2%</a:t>
                    </a:r>
                  </a:p>
                </c:rich>
              </c:tx>
              <c:dLblPos val="inEnd"/>
              <c:showLegendKey val="0"/>
              <c:showVal val="0"/>
              <c:showCatName val="0"/>
              <c:showSerName val="0"/>
              <c:showPercent val="0"/>
              <c:separator>; </c:separator>
            </c:dLbl>
            <c:dLbl>
              <c:idx val="9"/>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-1%</a:t>
                    </a:r>
                  </a:p>
                </c:rich>
              </c:tx>
              <c:dLblPos val="inEnd"/>
              <c:showLegendKey val="0"/>
              <c:showVal val="0"/>
              <c:showCatName val="0"/>
              <c:showSerName val="0"/>
              <c:showPercent val="0"/>
              <c:separator>; </c:separator>
            </c:dLbl>
            <c:txPr>
              <a:bodyPr wrap="square"/>
              <a:lstStyle/>
              <a:p>
                <a:pPr>
                  <a:defRPr b="0" sz="1000" spc="-1" strike="noStrike">
                    <a:solidFill>
                      <a:srgbClr val="000000"/>
                    </a:solidFill>
                    <a:latin typeface="Calibri"/>
                  </a:defRPr>
                </a:pPr>
              </a:p>
            </c:txPr>
            <c:dLblPos val="ct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'MAA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'MAA vs Market'!$N$4:$N$13</c:f>
              <c:numCache>
                <c:formatCode>#,##0</c:formatCode>
                <c:ptCount val="10"/>
                <c:pt idx="0">
                  <c:v>572.045</c:v>
                </c:pt>
                <c:pt idx="1">
                  <c:v>797.505</c:v>
                </c:pt>
                <c:pt idx="2">
                  <c:v>803.164</c:v>
                </c:pt>
                <c:pt idx="3">
                  <c:v>848.325</c:v>
                </c:pt>
                <c:pt idx="4">
                  <c:v>869.951</c:v>
                </c:pt>
                <c:pt idx="5">
                  <c:v>950.036</c:v>
                </c:pt>
                <c:pt idx="6">
                  <c:v>1141.425</c:v>
                </c:pt>
                <c:pt idx="7">
                  <c:v>1231.093</c:v>
                </c:pt>
                <c:pt idx="8">
                  <c:v>1202.379</c:v>
                </c:pt>
                <c:pt idx="9">
                  <c:v>1186.062</c:v>
                </c:pt>
              </c:numCache>
            </c:numRef>
          </c:val>
        </c:ser>
        <c:ser>
          <c:idx val="1"/>
          <c:order val="1"/>
          <c:tx>
            <c:strRef>
              <c:f>"Stabilized Market Cap less Leveraged CF ($M)"</c:f>
              <c:strCache>
                <c:ptCount val="1"/>
                <c:pt idx="0">
                  <c:v>Stabilized Market Cap less Leveraged CF ($M)</c:v>
                </c:pt>
              </c:strCache>
            </c:strRef>
          </c:tx>
          <c:spPr>
            <a:solidFill>
              <a:srgbClr val="d9d9d9"/>
            </a:solidFill>
            <a:ln w="0">
              <a:noFill/>
            </a:ln>
          </c:spPr>
          <c:invertIfNegative val="0"/>
          <c:dLbls>
            <c:txPr>
              <a:bodyPr wrap="square"/>
              <a:lstStyle/>
              <a:p>
                <a:pPr>
                  <a:defRPr b="0" sz="1000" spc="-1" strike="noStrike">
                    <a:solidFill>
                      <a:srgbClr val="000000"/>
                    </a:solidFill>
                    <a:latin typeface="Calibri"/>
                  </a:defRPr>
                </a:pPr>
              </a:p>
            </c:txPr>
            <c:dLblPos val="ct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'MAA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'MAA vs Market'!$R$4:$R$13</c:f>
              <c:numCache>
                <c:formatCode>#,##0</c:formatCode>
                <c:ptCount val="10"/>
                <c:pt idx="0">
                  <c:v>10654.2321808</c:v>
                </c:pt>
                <c:pt idx="1">
                  <c:v>10877.83966112</c:v>
                </c:pt>
                <c:pt idx="2">
                  <c:v>10367.4208576</c:v>
                </c:pt>
                <c:pt idx="3">
                  <c:v>14601.52994462</c:v>
                </c:pt>
                <c:pt idx="4">
                  <c:v>13789.65103896</c:v>
                </c:pt>
                <c:pt idx="5">
                  <c:v>25976.48354336</c:v>
                </c:pt>
                <c:pt idx="6">
                  <c:v>17088.34878031</c:v>
                </c:pt>
                <c:pt idx="7">
                  <c:v>14423.07138816</c:v>
                </c:pt>
                <c:pt idx="8">
                  <c:v>16796.03845661</c:v>
                </c:pt>
                <c:pt idx="9">
                  <c:v>14958.00453156</c:v>
                </c:pt>
              </c:numCache>
            </c:numRef>
          </c:val>
        </c:ser>
        <c:gapWidth val="150"/>
        <c:overlap val="100"/>
        <c:axId val="59250317"/>
        <c:axId val="29398027"/>
      </c:barChart>
      <c:lineChart>
        <c:grouping val="stacked"/>
        <c:varyColors val="0"/>
        <c:ser>
          <c:idx val="2"/>
          <c:order val="2"/>
          <c:tx>
            <c:strRef>
              <c:f>"Leveraged NOI Multiple (right)"</c:f>
              <c:strCache>
                <c:ptCount val="1"/>
                <c:pt idx="0">
                  <c:v>Leveraged NOI Multiple (right)</c:v>
                </c:pt>
              </c:strCache>
            </c:strRef>
          </c:tx>
          <c:spPr>
            <a:solidFill>
              <a:srgbClr val="1f3b57"/>
            </a:solidFill>
            <a:ln w="28440">
              <a:solidFill>
                <a:srgbClr val="1f3b57"/>
              </a:solidFill>
              <a:round/>
            </a:ln>
          </c:spPr>
          <c:marker>
            <c:symbol val="circle"/>
            <c:size val="5"/>
            <c:spPr>
              <a:solidFill>
                <a:srgbClr val="1f3b57"/>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'MAA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'MAA vs Market'!$K$4:$K$13</c:f>
              <c:numCache>
                <c:formatCode>0.0</c:formatCode>
                <c:ptCount val="10"/>
                <c:pt idx="0">
                  <c:v>19.6248147974373</c:v>
                </c:pt>
                <c:pt idx="1">
                  <c:v>14.6398388237315</c:v>
                </c:pt>
                <c:pt idx="2">
                  <c:v>13.9082240458985</c:v>
                </c:pt>
                <c:pt idx="3">
                  <c:v>18.2121886595585</c:v>
                </c:pt>
                <c:pt idx="4">
                  <c:v>16.8510663692093</c:v>
                </c:pt>
                <c:pt idx="5">
                  <c:v>28.3426307459507</c:v>
                </c:pt>
                <c:pt idx="6">
                  <c:v>15.9710657996014</c:v>
                </c:pt>
                <c:pt idx="7">
                  <c:v>12.7156635511371</c:v>
                </c:pt>
                <c:pt idx="8">
                  <c:v>14.9690051611098</c:v>
                </c:pt>
                <c:pt idx="9">
                  <c:v>13.611486188378</c:v>
                </c:pt>
              </c:numCache>
            </c:numRef>
          </c:val>
          <c:smooth val="0"/>
        </c:ser>
        <c:hiLowLines>
          <c:spPr>
            <a:ln w="0">
              <a:noFill/>
            </a:ln>
          </c:spPr>
        </c:hiLowLines>
        <c:marker val="1"/>
        <c:axId val="98648320"/>
        <c:axId val="98196651"/>
      </c:lineChart>
      <c:catAx>
        <c:axId val="59250317"/>
        <c:scaling>
          <c:orientation val="minMax"/>
        </c:scaling>
        <c:delete val="0"/>
        <c:axPos val="b"/>
        <c:numFmt formatCode="General"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29398027"/>
        <c:crosses val="autoZero"/>
        <c:auto val="1"/>
        <c:lblAlgn val="ctr"/>
        <c:lblOffset val="100"/>
        <c:noMultiLvlLbl val="0"/>
      </c:catAx>
      <c:valAx>
        <c:axId val="29398027"/>
        <c:scaling>
          <c:orientation val="minMax"/>
          <c:min val="0"/>
        </c:scaling>
        <c:delete val="0"/>
        <c:axPos val="l"/>
        <c:majorGridlines>
          <c:spPr>
            <a:ln w="0">
              <a:solidFill>
                <a:srgbClr val="b3b3b3"/>
              </a:solidFill>
            </a:ln>
          </c:spPr>
        </c:majorGridlines>
        <c:numFmt formatCode="#,##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59250317"/>
        <c:crosses val="autoZero"/>
        <c:crossBetween val="between"/>
      </c:valAx>
      <c:catAx>
        <c:axId val="98648320"/>
        <c:scaling>
          <c:orientation val="minMax"/>
        </c:scaling>
        <c:delete val="1"/>
        <c:axPos val="t"/>
        <c:numFmt formatCode="General" sourceLinked="1"/>
        <c:majorTickMark val="none"/>
        <c:minorTickMark val="none"/>
        <c:tickLblPos val="none"/>
        <c:spPr>
          <a:ln w="0">
            <a:solidFill>
              <a:srgbClr val="b3b3b3"/>
            </a:solidFill>
          </a:ln>
        </c:spPr>
        <c:txPr>
          <a:bodyPr/>
          <a:lstStyle/>
          <a:p>
            <a:pPr>
              <a:defRPr b="0" sz="1000" spc="-1" strike="noStrike">
                <a:solidFill>
                  <a:srgbClr val="000000"/>
                </a:solidFill>
                <a:latin typeface="Calibri"/>
              </a:defRPr>
            </a:pPr>
          </a:p>
        </c:txPr>
        <c:crossAx val="98196651"/>
        <c:auto val="1"/>
        <c:lblAlgn val="ctr"/>
        <c:lblOffset val="100"/>
        <c:noMultiLvlLbl val="0"/>
      </c:catAx>
      <c:valAx>
        <c:axId val="98196651"/>
        <c:scaling>
          <c:orientation val="minMax"/>
        </c:scaling>
        <c:delete val="0"/>
        <c:axPos val="r"/>
        <c:numFmt formatCode="0.0\x"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98648320"/>
        <c:crosses val="max"/>
        <c:crossBetween val="between"/>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21.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MAA Implied Cap Rate vs. Private Apartment Cap Rates (2016-2025)</a:t>
            </a:r>
          </a:p>
        </c:rich>
      </c:tx>
      <c:overlay val="0"/>
      <c:spPr>
        <a:noFill/>
        <a:ln w="0">
          <a:noFill/>
        </a:ln>
      </c:spPr>
    </c:title>
    <c:autoTitleDeleted val="0"/>
    <c:plotArea>
      <c:layout>
        <c:manualLayout>
          <c:layoutTarget val="inner"/>
          <c:xMode val="edge"/>
          <c:yMode val="edge"/>
          <c:x val="0.100043050634169"/>
          <c:y val="0.16016016016016"/>
          <c:w val="0.799450276517535"/>
          <c:h val="0.61961961961962"/>
        </c:manualLayout>
      </c:layout>
      <c:scatterChart>
        <c:scatterStyle val="lineMarker"/>
        <c:varyColors val="0"/>
        <c:ser>
          <c:idx val="0"/>
          <c:order val="0"/>
          <c:tx>
            <c:strRef>
              <c:f>"MAA Implied Cap Rate (public pricing, year-end)"</c:f>
              <c:strCache>
                <c:ptCount val="1"/>
                <c:pt idx="0">
                  <c:v>MAA Implied Cap Rate (public pricing, year-end)</c:v>
                </c:pt>
              </c:strCache>
            </c:strRef>
          </c:tx>
          <c:spPr>
            <a:solidFill>
              <a:srgbClr val="a31f34"/>
            </a:solidFill>
            <a:ln w="28440">
              <a:solidFill>
                <a:srgbClr val="a31f34"/>
              </a:solidFill>
              <a:round/>
            </a:ln>
          </c:spPr>
          <c:marker>
            <c:symbol val="circle"/>
            <c:size val="5"/>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'MAA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'MAA vs Market'!$B$4:$B$13</c:f>
              <c:numCache>
                <c:formatCode>0.00%</c:formatCode>
                <c:ptCount val="10"/>
                <c:pt idx="0">
                  <c:v>0.044516140398703</c:v>
                </c:pt>
                <c:pt idx="1">
                  <c:v>0.0587058809995667</c:v>
                </c:pt>
                <c:pt idx="2">
                  <c:v>0.0620466945737261</c:v>
                </c:pt>
                <c:pt idx="3">
                  <c:v>0.0515430106556146</c:v>
                </c:pt>
                <c:pt idx="4">
                  <c:v>0.0538528399502225</c:v>
                </c:pt>
                <c:pt idx="5">
                  <c:v>0.0351551750648325</c:v>
                </c:pt>
                <c:pt idx="6">
                  <c:v>0.0571301151901416</c:v>
                </c:pt>
                <c:pt idx="7">
                  <c:v>0.0682054496520018</c:v>
                </c:pt>
                <c:pt idx="8">
                  <c:v>0.0595464052819107</c:v>
                </c:pt>
                <c:pt idx="9">
                  <c:v>0.0635080694466279</c:v>
                </c:pt>
              </c:numCache>
            </c:numRef>
          </c:yVal>
          <c:smooth val="0"/>
        </c:ser>
        <c:ser>
          <c:idx val="1"/>
          <c:order val="1"/>
          <c:tx>
            <c:strRef>
              <c:f>"Green Street Nominal Cap Rate, 51-Market Wtd Avg (4Q)"</c:f>
              <c:strCache>
                <c:ptCount val="1"/>
                <c:pt idx="0">
                  <c:v>Green Street Nominal Cap Rate, 51-Market Wtd Avg (4Q)</c:v>
                </c:pt>
              </c:strCache>
            </c:strRef>
          </c:tx>
          <c:spPr>
            <a:solidFill>
              <a:srgbClr val="1f3b57"/>
            </a:solidFill>
            <a:ln w="28440">
              <a:solidFill>
                <a:srgbClr val="1f3b57"/>
              </a:solidFill>
              <a:round/>
            </a:ln>
          </c:spPr>
          <c:marker>
            <c:symbol val="square"/>
            <c:size val="5"/>
            <c:spPr>
              <a:solidFill>
                <a:srgbClr val="1f3b57"/>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'MAA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'MAA vs Market'!$T$4:$T$13</c:f>
              <c:numCache>
                <c:formatCode>0.00%</c:formatCode>
                <c:ptCount val="10"/>
                <c:pt idx="0">
                  <c:v>0.04852258</c:v>
                </c:pt>
                <c:pt idx="1">
                  <c:v>0.0501092</c:v>
                </c:pt>
                <c:pt idx="2">
                  <c:v>0.04923149</c:v>
                </c:pt>
                <c:pt idx="3">
                  <c:v>0.0475775</c:v>
                </c:pt>
                <c:pt idx="4">
                  <c:v>0.04376953</c:v>
                </c:pt>
                <c:pt idx="5">
                  <c:v>0.03788439</c:v>
                </c:pt>
                <c:pt idx="6">
                  <c:v>0.05048362</c:v>
                </c:pt>
                <c:pt idx="7">
                  <c:v>0.05662173</c:v>
                </c:pt>
                <c:pt idx="8">
                  <c:v>0.05208783</c:v>
                </c:pt>
                <c:pt idx="9">
                  <c:v>0.05229724</c:v>
                </c:pt>
              </c:numCache>
            </c:numRef>
          </c:yVal>
          <c:smooth val="0"/>
        </c:ser>
        <c:ser>
          <c:idx val="2"/>
          <c:order val="2"/>
          <c:tx>
            <c:strRef>
              <c:f>"10-Yr UST Yield"</c:f>
              <c:strCache>
                <c:ptCount val="1"/>
                <c:pt idx="0">
                  <c:v>10-Yr UST Yield</c:v>
                </c:pt>
              </c:strCache>
            </c:strRef>
          </c:tx>
          <c:spPr>
            <a:solidFill>
              <a:srgbClr val="8a8a8a"/>
            </a:solidFill>
            <a:ln w="28440">
              <a:solidFill>
                <a:srgbClr val="8a8a8a"/>
              </a:solidFill>
              <a:prstDash val="sysDot"/>
              <a:round/>
            </a:ln>
          </c:spPr>
          <c:marker>
            <c:symbol val="dash"/>
            <c:size val="4"/>
            <c:spPr>
              <a:solidFill>
                <a:srgbClr val="8a8a8a"/>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'MAA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'MAA vs Market'!$C$4:$C$13</c:f>
              <c:numCache>
                <c:formatCode>0.00%</c:formatCode>
                <c:ptCount val="10"/>
                <c:pt idx="0">
                  <c:v>0.0245</c:v>
                </c:pt>
                <c:pt idx="1">
                  <c:v>0.024</c:v>
                </c:pt>
                <c:pt idx="2">
                  <c:v>0.0269</c:v>
                </c:pt>
                <c:pt idx="3">
                  <c:v>0.0192</c:v>
                </c:pt>
                <c:pt idx="4">
                  <c:v>0.0093</c:v>
                </c:pt>
                <c:pt idx="5">
                  <c:v>0.0152</c:v>
                </c:pt>
                <c:pt idx="6">
                  <c:v>0.0388</c:v>
                </c:pt>
                <c:pt idx="7">
                  <c:v>0.0388</c:v>
                </c:pt>
                <c:pt idx="8">
                  <c:v>0.0458</c:v>
                </c:pt>
                <c:pt idx="9">
                  <c:v>0.0418</c:v>
                </c:pt>
              </c:numCache>
            </c:numRef>
          </c:yVal>
          <c:smooth val="0"/>
        </c:ser>
        <c:axId val="9518162"/>
        <c:axId val="925948"/>
      </c:scatterChart>
      <c:valAx>
        <c:axId val="9518162"/>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925948"/>
        <c:crosses val="autoZero"/>
        <c:crossBetween val="midCat"/>
        <c:majorUnit val="1"/>
      </c:valAx>
      <c:valAx>
        <c:axId val="925948"/>
        <c:scaling>
          <c:orientation val="minMax"/>
        </c:scaling>
        <c:delete val="0"/>
        <c:axPos val="l"/>
        <c:majorGridlines>
          <c:spPr>
            <a:ln w="0">
              <a:solidFill>
                <a:srgbClr val="b3b3b3"/>
              </a:solidFill>
            </a:ln>
          </c:spPr>
        </c:majorGridlines>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9518162"/>
        <c:crosses val="autoZero"/>
        <c:crossBetween val="midCat"/>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22.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Apartment Values vs. Construction Costs vs. CPI, Indexed to 2016 (2016-2025)</a:t>
            </a:r>
          </a:p>
        </c:rich>
      </c:tx>
      <c:overlay val="0"/>
      <c:spPr>
        <a:noFill/>
        <a:ln w="0">
          <a:noFill/>
        </a:ln>
      </c:spPr>
    </c:title>
    <c:autoTitleDeleted val="0"/>
    <c:plotArea>
      <c:layout>
        <c:manualLayout>
          <c:layoutTarget val="inner"/>
          <c:xMode val="edge"/>
          <c:yMode val="edge"/>
          <c:x val="0.100043050634169"/>
          <c:y val="0.16016016016016"/>
          <c:w val="0.799450276517535"/>
          <c:h val="0.61961961961962"/>
        </c:manualLayout>
      </c:layout>
      <c:scatterChart>
        <c:scatterStyle val="lineMarker"/>
        <c:varyColors val="0"/>
        <c:ser>
          <c:idx val="0"/>
          <c:order val="0"/>
          <c:tx>
            <c:strRef>
              <c:f>"Apartment Property Values (Green Street CPPI)"</c:f>
              <c:strCache>
                <c:ptCount val="1"/>
                <c:pt idx="0">
                  <c:v>Apartment Property Values (Green Street CPPI)</c:v>
                </c:pt>
              </c:strCache>
            </c:strRef>
          </c:tx>
          <c:spPr>
            <a:solidFill>
              <a:srgbClr val="a31f34"/>
            </a:solidFill>
            <a:ln w="28440">
              <a:solidFill>
                <a:srgbClr val="a31f34"/>
              </a:solidFill>
              <a:round/>
            </a:ln>
          </c:spPr>
          <c:marker>
            <c:symbol val="circle"/>
            <c:size val="5"/>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'MAA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'MAA vs Market'!$U$4:$U$13</c:f>
              <c:numCache>
                <c:formatCode>0.0</c:formatCode>
                <c:ptCount val="10"/>
                <c:pt idx="0">
                  <c:v>100</c:v>
                </c:pt>
                <c:pt idx="1">
                  <c:v>99.9419598056238</c:v>
                </c:pt>
                <c:pt idx="2">
                  <c:v>105.350134707176</c:v>
                </c:pt>
                <c:pt idx="3">
                  <c:v>111.012161577111</c:v>
                </c:pt>
                <c:pt idx="4">
                  <c:v>112.840426236934</c:v>
                </c:pt>
                <c:pt idx="5">
                  <c:v>148.305287254741</c:v>
                </c:pt>
                <c:pt idx="6">
                  <c:v>112.259083245291</c:v>
                </c:pt>
                <c:pt idx="7">
                  <c:v>100.508627067155</c:v>
                </c:pt>
                <c:pt idx="8">
                  <c:v>109.137003547425</c:v>
                </c:pt>
                <c:pt idx="9">
                  <c:v>109.052228192995</c:v>
                </c:pt>
              </c:numCache>
            </c:numRef>
          </c:yVal>
          <c:smooth val="0"/>
        </c:ser>
        <c:ser>
          <c:idx val="1"/>
          <c:order val="1"/>
          <c:tx>
            <c:strRef>
              <c:f>"Non-Residential Construction Costs (PPI)"</c:f>
              <c:strCache>
                <c:ptCount val="1"/>
                <c:pt idx="0">
                  <c:v>Non-Residential Construction Costs (PPI)</c:v>
                </c:pt>
              </c:strCache>
            </c:strRef>
          </c:tx>
          <c:spPr>
            <a:solidFill>
              <a:srgbClr val="1f3b57"/>
            </a:solidFill>
            <a:ln w="28440">
              <a:solidFill>
                <a:srgbClr val="1f3b57"/>
              </a:solidFill>
              <a:round/>
            </a:ln>
          </c:spPr>
          <c:marker>
            <c:symbol val="square"/>
            <c:size val="5"/>
            <c:spPr>
              <a:solidFill>
                <a:srgbClr val="1f3b57"/>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'MAA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'MAA vs Market'!$V$4:$V$13</c:f>
              <c:numCache>
                <c:formatCode>0.0</c:formatCode>
                <c:ptCount val="10"/>
                <c:pt idx="0">
                  <c:v>100</c:v>
                </c:pt>
                <c:pt idx="1">
                  <c:v>102.196167016261</c:v>
                </c:pt>
                <c:pt idx="2">
                  <c:v>106.491690421126</c:v>
                </c:pt>
                <c:pt idx="3">
                  <c:v>111.952526936661</c:v>
                </c:pt>
                <c:pt idx="4">
                  <c:v>114.716111798347</c:v>
                </c:pt>
                <c:pt idx="5">
                  <c:v>120.671758188566</c:v>
                </c:pt>
                <c:pt idx="6">
                  <c:v>144.713064056365</c:v>
                </c:pt>
                <c:pt idx="7">
                  <c:v>156.117893831012</c:v>
                </c:pt>
                <c:pt idx="8">
                  <c:v>156.281037666505</c:v>
                </c:pt>
                <c:pt idx="9">
                  <c:v>158.821420247763</c:v>
                </c:pt>
              </c:numCache>
            </c:numRef>
          </c:yVal>
          <c:smooth val="0"/>
        </c:ser>
        <c:ser>
          <c:idx val="2"/>
          <c:order val="2"/>
          <c:tx>
            <c:strRef>
              <c:f>"CPI (All Urban Consumers)"</c:f>
              <c:strCache>
                <c:ptCount val="1"/>
                <c:pt idx="0">
                  <c:v>CPI (All Urban Consumers)</c:v>
                </c:pt>
              </c:strCache>
            </c:strRef>
          </c:tx>
          <c:spPr>
            <a:solidFill>
              <a:srgbClr val="8a8a8a"/>
            </a:solidFill>
            <a:ln w="28440">
              <a:solidFill>
                <a:srgbClr val="8a8a8a"/>
              </a:solidFill>
              <a:prstDash val="dash"/>
              <a:round/>
            </a:ln>
          </c:spPr>
          <c:marker>
            <c:symbol val="dash"/>
            <c:size val="4"/>
            <c:spPr>
              <a:solidFill>
                <a:srgbClr val="8a8a8a"/>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'MAA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'MAA vs Market'!$W$4:$W$13</c:f>
              <c:numCache>
                <c:formatCode>0.0</c:formatCode>
                <c:ptCount val="10"/>
                <c:pt idx="0">
                  <c:v>100</c:v>
                </c:pt>
                <c:pt idx="1">
                  <c:v>102.13162225787</c:v>
                </c:pt>
                <c:pt idx="2">
                  <c:v>104.622820357909</c:v>
                </c:pt>
                <c:pt idx="3">
                  <c:v>106.519864169496</c:v>
                </c:pt>
                <c:pt idx="4">
                  <c:v>107.85441969959</c:v>
                </c:pt>
                <c:pt idx="5">
                  <c:v>112.903064519489</c:v>
                </c:pt>
                <c:pt idx="6">
                  <c:v>121.924959896669</c:v>
                </c:pt>
                <c:pt idx="7">
                  <c:v>126.956938397117</c:v>
                </c:pt>
                <c:pt idx="8">
                  <c:v>130.704776983813</c:v>
                </c:pt>
                <c:pt idx="9">
                  <c:v>134.14803858253</c:v>
                </c:pt>
              </c:numCache>
            </c:numRef>
          </c:yVal>
          <c:smooth val="0"/>
        </c:ser>
        <c:axId val="97859569"/>
        <c:axId val="79777682"/>
      </c:scatterChart>
      <c:valAx>
        <c:axId val="97859569"/>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79777682"/>
        <c:crosses val="autoZero"/>
        <c:crossBetween val="midCat"/>
        <c:majorUnit val="1"/>
      </c:valAx>
      <c:valAx>
        <c:axId val="79777682"/>
        <c:scaling>
          <c:orientation val="minMax"/>
        </c:scaling>
        <c:delete val="0"/>
        <c:axPos val="l"/>
        <c:majorGridlines>
          <c:spPr>
            <a:ln w="0">
              <a:solidFill>
                <a:srgbClr val="b3b3b3"/>
              </a:solidFill>
            </a:ln>
          </c:spPr>
        </c:majorGridlines>
        <c:numFmt formatCode="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97859569"/>
        <c:crosses val="autoZero"/>
        <c:crossBetween val="midCat"/>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23.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Market Asking Rent and Occupancy (2016-2025)
Left axis: CoStar market asking rent, $/Unit. Right axis: occupancy (100% less vacancy).</a:t>
            </a:r>
          </a:p>
        </c:rich>
      </c:tx>
      <c:overlay val="0"/>
      <c:spPr>
        <a:noFill/>
        <a:ln w="0">
          <a:noFill/>
        </a:ln>
      </c:spPr>
    </c:title>
    <c:autoTitleDeleted val="0"/>
    <c:plotArea>
      <c:layout>
        <c:manualLayout>
          <c:layoutTarget val="inner"/>
          <c:xMode val="edge"/>
          <c:yMode val="edge"/>
          <c:x val="0.100043050634169"/>
          <c:y val="0.16016016016016"/>
          <c:w val="0.799450276517535"/>
          <c:h val="0.61961961961962"/>
        </c:manualLayout>
      </c:layout>
      <c:scatterChart>
        <c:scatterStyle val="lineMarker"/>
        <c:varyColors val="0"/>
        <c:ser>
          <c:idx val="0"/>
          <c:order val="0"/>
          <c:tx>
            <c:strRef>
              <c:f>"CoStar Market Asking Rent ($/Unit, left)"</c:f>
              <c:strCache>
                <c:ptCount val="1"/>
                <c:pt idx="0">
                  <c:v>CoStar Market Asking Rent ($/Unit, left)</c:v>
                </c:pt>
              </c:strCache>
            </c:strRef>
          </c:tx>
          <c:spPr>
            <a:solidFill>
              <a:srgbClr val="a31f34"/>
            </a:solidFill>
            <a:ln w="28440">
              <a:solidFill>
                <a:srgbClr val="a31f34"/>
              </a:solidFill>
              <a:round/>
            </a:ln>
          </c:spPr>
          <c:marker>
            <c:symbol val="circle"/>
            <c:size val="5"/>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'MAA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'MAA vs Market'!$AA$4:$AA$13</c:f>
              <c:numCache>
                <c:formatCode>#,##0</c:formatCode>
                <c:ptCount val="10"/>
                <c:pt idx="0">
                  <c:v>1376.36653028372</c:v>
                </c:pt>
                <c:pt idx="1">
                  <c:v>1413.54736229744</c:v>
                </c:pt>
                <c:pt idx="2">
                  <c:v>1455.35257948066</c:v>
                </c:pt>
                <c:pt idx="3">
                  <c:v>1492.51299863927</c:v>
                </c:pt>
                <c:pt idx="4">
                  <c:v>1515.03157803764</c:v>
                </c:pt>
                <c:pt idx="5">
                  <c:v>1648.60423459865</c:v>
                </c:pt>
                <c:pt idx="6">
                  <c:v>1714.73423795083</c:v>
                </c:pt>
                <c:pt idx="7">
                  <c:v>1737.18200077721</c:v>
                </c:pt>
                <c:pt idx="8">
                  <c:v>1758.30089224859</c:v>
                </c:pt>
                <c:pt idx="9">
                  <c:v>1765.86107725045</c:v>
                </c:pt>
              </c:numCache>
            </c:numRef>
          </c:yVal>
          <c:smooth val="0"/>
        </c:ser>
        <c:axId val="3298794"/>
        <c:axId val="95825125"/>
      </c:scatterChart>
      <c:scatterChart>
        <c:scatterStyle val="lineMarker"/>
        <c:varyColors val="0"/>
        <c:ser>
          <c:idx val="1"/>
          <c:order val="1"/>
          <c:tx>
            <c:strRef>
              <c:f>"CoStar National Occupancy (right)"</c:f>
              <c:strCache>
                <c:ptCount val="1"/>
                <c:pt idx="0">
                  <c:v>CoStar National Occupancy (right)</c:v>
                </c:pt>
              </c:strCache>
            </c:strRef>
          </c:tx>
          <c:spPr>
            <a:solidFill>
              <a:srgbClr val="8a8a8a"/>
            </a:solidFill>
            <a:ln w="28440">
              <a:solidFill>
                <a:srgbClr val="8a8a8a"/>
              </a:solidFill>
              <a:prstDash val="dash"/>
              <a:round/>
            </a:ln>
          </c:spPr>
          <c:marker>
            <c:symbol val="diamond"/>
            <c:size val="4"/>
            <c:spPr>
              <a:solidFill>
                <a:srgbClr val="8a8a8a"/>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'MAA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'MAA vs Market'!$AB$4:$AB$13</c:f>
              <c:numCache>
                <c:formatCode>0.0%</c:formatCode>
                <c:ptCount val="10"/>
                <c:pt idx="0">
                  <c:v>0.933800252657227</c:v>
                </c:pt>
                <c:pt idx="1">
                  <c:v>0.931740924330767</c:v>
                </c:pt>
                <c:pt idx="2">
                  <c:v>0.934208294008667</c:v>
                </c:pt>
                <c:pt idx="3">
                  <c:v>0.933908627107305</c:v>
                </c:pt>
                <c:pt idx="4">
                  <c:v>0.932243901314361</c:v>
                </c:pt>
                <c:pt idx="5">
                  <c:v>0.948838109682052</c:v>
                </c:pt>
                <c:pt idx="6">
                  <c:v>0.934067346552357</c:v>
                </c:pt>
                <c:pt idx="7">
                  <c:v>0.922036331657417</c:v>
                </c:pt>
                <c:pt idx="8">
                  <c:v>0.916767915226356</c:v>
                </c:pt>
                <c:pt idx="9">
                  <c:v>0.915292446721569</c:v>
                </c:pt>
              </c:numCache>
            </c:numRef>
          </c:yVal>
          <c:smooth val="0"/>
        </c:ser>
        <c:axId val="69810724"/>
        <c:axId val="82495558"/>
      </c:scatterChart>
      <c:valAx>
        <c:axId val="3298794"/>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95825125"/>
        <c:crosses val="autoZero"/>
        <c:crossBetween val="midCat"/>
        <c:majorUnit val="1"/>
      </c:valAx>
      <c:valAx>
        <c:axId val="95825125"/>
        <c:scaling>
          <c:orientation val="minMax"/>
        </c:scaling>
        <c:delete val="0"/>
        <c:axPos val="l"/>
        <c:majorGridlines>
          <c:spPr>
            <a:ln w="0">
              <a:solidFill>
                <a:srgbClr val="b3b3b3"/>
              </a:solidFill>
            </a:ln>
          </c:spPr>
        </c:majorGridlines>
        <c:numFmt formatCode="\$0.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3298794"/>
        <c:crosses val="autoZero"/>
        <c:crossBetween val="midCat"/>
      </c:valAx>
      <c:valAx>
        <c:axId val="69810724"/>
        <c:scaling>
          <c:orientation val="minMax"/>
        </c:scaling>
        <c:delete val="1"/>
        <c:axPos val="t"/>
        <c:numFmt formatCode="General" sourceLinked="1"/>
        <c:majorTickMark val="none"/>
        <c:minorTickMark val="none"/>
        <c:tickLblPos val="none"/>
        <c:spPr>
          <a:ln w="0">
            <a:solidFill>
              <a:srgbClr val="b3b3b3"/>
            </a:solidFill>
          </a:ln>
        </c:spPr>
        <c:txPr>
          <a:bodyPr/>
          <a:lstStyle/>
          <a:p>
            <a:pPr>
              <a:defRPr b="0" sz="1000" spc="-1" strike="noStrike">
                <a:solidFill>
                  <a:srgbClr val="000000"/>
                </a:solidFill>
                <a:latin typeface="Calibri"/>
              </a:defRPr>
            </a:pPr>
          </a:p>
        </c:txPr>
        <c:crossAx val="82495558"/>
        <c:crossBetween val="midCat"/>
        <c:majorUnit val="1"/>
      </c:valAx>
      <c:valAx>
        <c:axId val="82495558"/>
        <c:scaling>
          <c:orientation val="minMax"/>
        </c:scaling>
        <c:delete val="0"/>
        <c:axPos val="r"/>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69810724"/>
        <c:crosses val="max"/>
        <c:crossBetween val="midCat"/>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24.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Asking Rent and Market-RevPAF (Indexed, 2016 = 100) and Vacancy (2016-2025)</a:t>
            </a:r>
          </a:p>
        </c:rich>
      </c:tx>
      <c:overlay val="0"/>
      <c:spPr>
        <a:noFill/>
        <a:ln w="0">
          <a:noFill/>
        </a:ln>
      </c:spPr>
    </c:title>
    <c:autoTitleDeleted val="0"/>
    <c:plotArea>
      <c:layout>
        <c:manualLayout>
          <c:layoutTarget val="inner"/>
          <c:xMode val="edge"/>
          <c:yMode val="edge"/>
          <c:x val="0.100043050634169"/>
          <c:y val="0.16016016016016"/>
          <c:w val="0.799450276517535"/>
          <c:h val="0.61961961961962"/>
        </c:manualLayout>
      </c:layout>
      <c:scatterChart>
        <c:scatterStyle val="lineMarker"/>
        <c:varyColors val="0"/>
        <c:ser>
          <c:idx val="0"/>
          <c:order val="0"/>
          <c:tx>
            <c:strRef>
              <c:f>"CoStar Market Asking Rent (2016 = 100)"</c:f>
              <c:strCache>
                <c:ptCount val="1"/>
                <c:pt idx="0">
                  <c:v>CoStar Market Asking Rent (2016 = 100)</c:v>
                </c:pt>
              </c:strCache>
            </c:strRef>
          </c:tx>
          <c:spPr>
            <a:solidFill>
              <a:srgbClr val="1f3b57"/>
            </a:solidFill>
            <a:ln w="28440">
              <a:solidFill>
                <a:srgbClr val="1f3b57"/>
              </a:solidFill>
              <a:round/>
            </a:ln>
          </c:spPr>
          <c:marker>
            <c:symbol val="circle"/>
            <c:size val="5"/>
            <c:spPr>
              <a:solidFill>
                <a:srgbClr val="1f3b57"/>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'MAA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'MAA vs Market'!$X$4:$X$13</c:f>
              <c:numCache>
                <c:formatCode>0.0</c:formatCode>
                <c:ptCount val="10"/>
                <c:pt idx="0">
                  <c:v>100</c:v>
                </c:pt>
                <c:pt idx="1">
                  <c:v>102.701375774232</c:v>
                </c:pt>
                <c:pt idx="2">
                  <c:v>105.738736554474</c:v>
                </c:pt>
                <c:pt idx="3">
                  <c:v>108.438629231387</c:v>
                </c:pt>
                <c:pt idx="4">
                  <c:v>110.074718085838</c:v>
                </c:pt>
                <c:pt idx="5">
                  <c:v>119.77944815752</c:v>
                </c:pt>
                <c:pt idx="6">
                  <c:v>124.5841278629</c:v>
                </c:pt>
                <c:pt idx="7">
                  <c:v>126.215071534696</c:v>
                </c:pt>
                <c:pt idx="8">
                  <c:v>127.749465971549</c:v>
                </c:pt>
                <c:pt idx="9">
                  <c:v>128.2987517058</c:v>
                </c:pt>
              </c:numCache>
            </c:numRef>
          </c:yVal>
          <c:smooth val="0"/>
        </c:ser>
        <c:ser>
          <c:idx val="1"/>
          <c:order val="1"/>
          <c:tx>
            <c:strRef>
              <c:f>"Green Street Market-RevPAF (2016 = 100)"</c:f>
              <c:strCache>
                <c:ptCount val="1"/>
                <c:pt idx="0">
                  <c:v>Green Street Market-RevPAF (2016 = 100)</c:v>
                </c:pt>
              </c:strCache>
            </c:strRef>
          </c:tx>
          <c:spPr>
            <a:solidFill>
              <a:srgbClr val="a31f34"/>
            </a:solidFill>
            <a:ln w="28440">
              <a:solidFill>
                <a:srgbClr val="a31f34"/>
              </a:solidFill>
              <a:round/>
            </a:ln>
          </c:spPr>
          <c:marker>
            <c:symbol val="square"/>
            <c:size val="5"/>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'MAA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'MAA vs Market'!$AC$4:$AC$13</c:f>
              <c:numCache>
                <c:formatCode>0.0</c:formatCode>
                <c:ptCount val="10"/>
                <c:pt idx="0">
                  <c:v>100</c:v>
                </c:pt>
                <c:pt idx="1">
                  <c:v>101.91307</c:v>
                </c:pt>
                <c:pt idx="2">
                  <c:v>105.538820080952</c:v>
                </c:pt>
                <c:pt idx="3">
                  <c:v>108.533613913498</c:v>
                </c:pt>
                <c:pt idx="4">
                  <c:v>106.659623695541</c:v>
                </c:pt>
                <c:pt idx="5">
                  <c:v>123.022780000098</c:v>
                </c:pt>
                <c:pt idx="6">
                  <c:v>128.621102605667</c:v>
                </c:pt>
                <c:pt idx="7">
                  <c:v>128.260630389715</c:v>
                </c:pt>
                <c:pt idx="8">
                  <c:v>128.940642599915</c:v>
                </c:pt>
                <c:pt idx="9">
                  <c:v>129.359570747722</c:v>
                </c:pt>
              </c:numCache>
            </c:numRef>
          </c:yVal>
          <c:smooth val="0"/>
        </c:ser>
        <c:axId val="52118277"/>
        <c:axId val="17315380"/>
      </c:scatterChart>
      <c:scatterChart>
        <c:scatterStyle val="lineMarker"/>
        <c:varyColors val="0"/>
        <c:ser>
          <c:idx val="2"/>
          <c:order val="2"/>
          <c:tx>
            <c:strRef>
              <c:f>"CoStar National Vacancy (%)"</c:f>
              <c:strCache>
                <c:ptCount val="1"/>
                <c:pt idx="0">
                  <c:v>CoStar National Vacancy (%)</c:v>
                </c:pt>
              </c:strCache>
            </c:strRef>
          </c:tx>
          <c:spPr>
            <a:solidFill>
              <a:srgbClr val="8a8a8a"/>
            </a:solidFill>
            <a:ln w="28440">
              <a:solidFill>
                <a:srgbClr val="8a8a8a"/>
              </a:solidFill>
              <a:prstDash val="dash"/>
              <a:round/>
            </a:ln>
          </c:spPr>
          <c:marker>
            <c:symbol val="diamond"/>
            <c:size val="4"/>
            <c:spPr>
              <a:solidFill>
                <a:srgbClr val="8a8a8a"/>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'MAA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'MAA vs Market'!$G$4:$G$13</c:f>
              <c:numCache>
                <c:formatCode>0.00%</c:formatCode>
                <c:ptCount val="10"/>
                <c:pt idx="0">
                  <c:v>0.0661997473427734</c:v>
                </c:pt>
                <c:pt idx="1">
                  <c:v>0.0682590756692329</c:v>
                </c:pt>
                <c:pt idx="2">
                  <c:v>0.0657917059913334</c:v>
                </c:pt>
                <c:pt idx="3">
                  <c:v>0.0660913728926952</c:v>
                </c:pt>
                <c:pt idx="4">
                  <c:v>0.0677560986856392</c:v>
                </c:pt>
                <c:pt idx="5">
                  <c:v>0.0511618903179478</c:v>
                </c:pt>
                <c:pt idx="6">
                  <c:v>0.0659326534476428</c:v>
                </c:pt>
                <c:pt idx="7">
                  <c:v>0.0779636683425829</c:v>
                </c:pt>
                <c:pt idx="8">
                  <c:v>0.083232084773644</c:v>
                </c:pt>
                <c:pt idx="9">
                  <c:v>0.0847075532784309</c:v>
                </c:pt>
              </c:numCache>
            </c:numRef>
          </c:yVal>
          <c:smooth val="0"/>
        </c:ser>
        <c:axId val="6431427"/>
        <c:axId val="30780476"/>
      </c:scatterChart>
      <c:valAx>
        <c:axId val="52118277"/>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17315380"/>
        <c:crosses val="autoZero"/>
        <c:crossBetween val="midCat"/>
        <c:majorUnit val="1"/>
      </c:valAx>
      <c:valAx>
        <c:axId val="17315380"/>
        <c:scaling>
          <c:orientation val="minMax"/>
        </c:scaling>
        <c:delete val="0"/>
        <c:axPos val="l"/>
        <c:majorGridlines>
          <c:spPr>
            <a:ln w="0">
              <a:solidFill>
                <a:srgbClr val="b3b3b3"/>
              </a:solidFill>
            </a:ln>
          </c:spPr>
        </c:majorGridlines>
        <c:numFmt formatCode="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52118277"/>
        <c:crosses val="autoZero"/>
        <c:crossBetween val="midCat"/>
      </c:valAx>
      <c:valAx>
        <c:axId val="6431427"/>
        <c:scaling>
          <c:orientation val="minMax"/>
        </c:scaling>
        <c:delete val="1"/>
        <c:axPos val="t"/>
        <c:numFmt formatCode="General" sourceLinked="1"/>
        <c:majorTickMark val="none"/>
        <c:minorTickMark val="none"/>
        <c:tickLblPos val="none"/>
        <c:spPr>
          <a:ln w="0">
            <a:solidFill>
              <a:srgbClr val="b3b3b3"/>
            </a:solidFill>
          </a:ln>
        </c:spPr>
        <c:txPr>
          <a:bodyPr/>
          <a:lstStyle/>
          <a:p>
            <a:pPr>
              <a:defRPr b="0" sz="1000" spc="-1" strike="noStrike">
                <a:solidFill>
                  <a:srgbClr val="000000"/>
                </a:solidFill>
                <a:latin typeface="Calibri"/>
              </a:defRPr>
            </a:pPr>
          </a:p>
        </c:txPr>
        <c:crossAx val="30780476"/>
        <c:crossBetween val="midCat"/>
        <c:majorUnit val="1"/>
      </c:valAx>
      <c:valAx>
        <c:axId val="30780476"/>
        <c:scaling>
          <c:orientation val="minMax"/>
        </c:scaling>
        <c:delete val="0"/>
        <c:axPos val="r"/>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6431427"/>
        <c:crosses val="max"/>
        <c:crossBetween val="midCat"/>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25.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Supply Reduction and Forecast Revenue Recovery (2016-2030): Market-RevPAF Growth
Green Street, 50-market weighted average; dashed segment is the Green Street forecast (2026-2030).</a:t>
            </a:r>
          </a:p>
        </c:rich>
      </c:tx>
      <c:overlay val="0"/>
      <c:spPr>
        <a:noFill/>
        <a:ln w="0">
          <a:noFill/>
        </a:ln>
      </c:spPr>
    </c:title>
    <c:autoTitleDeleted val="0"/>
    <c:plotArea>
      <c:layout>
        <c:manualLayout>
          <c:layoutTarget val="inner"/>
          <c:xMode val="edge"/>
          <c:yMode val="edge"/>
          <c:x val="0.100043050634169"/>
          <c:y val="0.16016016016016"/>
          <c:w val="0.799450276517535"/>
          <c:h val="0.61961961961962"/>
        </c:manualLayout>
      </c:layout>
      <c:scatterChart>
        <c:scatterStyle val="lineMarker"/>
        <c:varyColors val="0"/>
        <c:ser>
          <c:idx val="0"/>
          <c:order val="0"/>
          <c:tx>
            <c:strRef>
              <c:f>"Market-RevPAF Growth, actual"</c:f>
              <c:strCache>
                <c:ptCount val="1"/>
                <c:pt idx="0">
                  <c:v>Market-RevPAF Growth, actual</c:v>
                </c:pt>
              </c:strCache>
            </c:strRef>
          </c:tx>
          <c:spPr>
            <a:solidFill>
              <a:srgbClr val="a31f34"/>
            </a:solidFill>
            <a:ln w="28440">
              <a:solidFill>
                <a:srgbClr val="a31f34"/>
              </a:solidFill>
              <a:round/>
            </a:ln>
          </c:spPr>
          <c:marker>
            <c:symbol val="circle"/>
            <c:size val="5"/>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'Green Street National'!$A$4:$A$13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'Green Street National'!$C$4:$C$13</c:f>
              <c:numCache>
                <c:formatCode>0.00%</c:formatCode>
                <c:ptCount val="10"/>
                <c:pt idx="0">
                  <c:v>0.01663905</c:v>
                </c:pt>
                <c:pt idx="1">
                  <c:v>0.0191307</c:v>
                </c:pt>
                <c:pt idx="2">
                  <c:v>0.03557689</c:v>
                </c:pt>
                <c:pt idx="3">
                  <c:v>0.02837623</c:v>
                </c:pt>
                <c:pt idx="4">
                  <c:v>-0.01726645</c:v>
                </c:pt>
                <c:pt idx="5">
                  <c:v>0.15341472</c:v>
                </c:pt>
                <c:pt idx="6">
                  <c:v>0.04550639</c:v>
                </c:pt>
                <c:pt idx="7">
                  <c:v>-0.00280259</c:v>
                </c:pt>
                <c:pt idx="8">
                  <c:v>0.0053018</c:v>
                </c:pt>
                <c:pt idx="9">
                  <c:v>0.003249</c:v>
                </c:pt>
              </c:numCache>
            </c:numRef>
          </c:yVal>
          <c:smooth val="0"/>
        </c:ser>
        <c:ser>
          <c:idx val="1"/>
          <c:order val="1"/>
          <c:tx>
            <c:strRef>
              <c:f>"Market-RevPAF Growth, Green Street forecast"</c:f>
              <c:strCache>
                <c:ptCount val="1"/>
                <c:pt idx="0">
                  <c:v>Market-RevPAF Growth, Green Street forecast</c:v>
                </c:pt>
              </c:strCache>
            </c:strRef>
          </c:tx>
          <c:spPr>
            <a:solidFill>
              <a:srgbClr val="a31f34"/>
            </a:solidFill>
            <a:ln w="28440">
              <a:solidFill>
                <a:srgbClr val="a31f34"/>
              </a:solidFill>
              <a:prstDash val="dash"/>
              <a:round/>
            </a:ln>
          </c:spPr>
          <c:marker>
            <c:symbol val="circle"/>
            <c:size val="5"/>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'Green Street National'!$A$13:$A$18</c:f>
              <c:numCache>
                <c:formatCode>General</c:formatCode>
                <c:ptCount val="6"/>
                <c:pt idx="0">
                  <c:v>2025</c:v>
                </c:pt>
                <c:pt idx="1">
                  <c:v>2026</c:v>
                </c:pt>
                <c:pt idx="2">
                  <c:v>2027</c:v>
                </c:pt>
                <c:pt idx="3">
                  <c:v>2028</c:v>
                </c:pt>
                <c:pt idx="4">
                  <c:v>2029</c:v>
                </c:pt>
                <c:pt idx="5">
                  <c:v>2030</c:v>
                </c:pt>
              </c:numCache>
            </c:numRef>
          </c:xVal>
          <c:yVal>
            <c:numRef>
              <c:f>'Green Street National'!$C$13:$C$18</c:f>
              <c:numCache>
                <c:formatCode>0.00%</c:formatCode>
                <c:ptCount val="6"/>
                <c:pt idx="0">
                  <c:v>0.003249</c:v>
                </c:pt>
                <c:pt idx="1">
                  <c:v>0.02318629</c:v>
                </c:pt>
                <c:pt idx="2">
                  <c:v>0.02469338</c:v>
                </c:pt>
                <c:pt idx="3">
                  <c:v>0.03493457</c:v>
                </c:pt>
                <c:pt idx="4">
                  <c:v>0.03015955</c:v>
                </c:pt>
                <c:pt idx="5">
                  <c:v>0.02999998</c:v>
                </c:pt>
              </c:numCache>
            </c:numRef>
          </c:yVal>
          <c:smooth val="0"/>
        </c:ser>
        <c:axId val="35637822"/>
        <c:axId val="37480227"/>
      </c:scatterChart>
      <c:valAx>
        <c:axId val="35637822"/>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37480227"/>
        <c:crosses val="autoZero"/>
        <c:crossBetween val="midCat"/>
        <c:majorUnit val="1"/>
      </c:valAx>
      <c:valAx>
        <c:axId val="37480227"/>
        <c:scaling>
          <c:orientation val="minMax"/>
        </c:scaling>
        <c:delete val="0"/>
        <c:axPos val="l"/>
        <c:majorGridlines>
          <c:spPr>
            <a:ln w="0">
              <a:solidFill>
                <a:srgbClr val="b3b3b3"/>
              </a:solidFill>
            </a:ln>
          </c:spPr>
        </c:majorGridlines>
        <c:numFmt formatCode="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35637822"/>
        <c:crosses val="autoZero"/>
        <c:crossBetween val="midCat"/>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26.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Supply Reduction and Forecast Revenue Recovery (2016-2030): Supply Growth (% of Stock)
Green Street, 50-market weighted average; lighter bars are the Green Street forecast (2026-2030).</a:t>
            </a:r>
          </a:p>
        </c:rich>
      </c:tx>
      <c:overlay val="0"/>
      <c:spPr>
        <a:noFill/>
        <a:ln w="0">
          <a:noFill/>
        </a:ln>
      </c:spPr>
    </c:title>
    <c:autoTitleDeleted val="0"/>
    <c:plotArea>
      <c:layout>
        <c:manualLayout>
          <c:layoutTarget val="inner"/>
          <c:xMode val="edge"/>
          <c:yMode val="edge"/>
          <c:x val="0.100043050634169"/>
          <c:y val="0.16016016016016"/>
          <c:w val="0.799450276517535"/>
          <c:h val="0.61961961961962"/>
        </c:manualLayout>
      </c:layout>
      <c:barChart>
        <c:barDir val="col"/>
        <c:grouping val="stacked"/>
        <c:varyColors val="0"/>
        <c:ser>
          <c:idx val="0"/>
          <c:order val="0"/>
          <c:tx>
            <c:strRef>
              <c:f>"Supply Growth, actual"</c:f>
              <c:strCache>
                <c:ptCount val="1"/>
                <c:pt idx="0">
                  <c:v>Supply Growth, actual</c:v>
                </c:pt>
              </c:strCache>
            </c:strRef>
          </c:tx>
          <c:spPr>
            <a:solidFill>
              <a:srgbClr val="1f3b57"/>
            </a:solidFill>
            <a:ln w="0">
              <a:noFill/>
            </a:ln>
          </c:spPr>
          <c:invertIfNegative val="0"/>
          <c:dLbls>
            <c:txPr>
              <a:bodyPr wrap="square"/>
              <a:lstStyle/>
              <a:p>
                <a:pPr>
                  <a:defRPr b="0" sz="1000" spc="-1" strike="noStrike">
                    <a:solidFill>
                      <a:srgbClr val="000000"/>
                    </a:solidFill>
                    <a:latin typeface="Calibri"/>
                  </a:defRPr>
                </a:pPr>
              </a:p>
            </c:txPr>
            <c:dLblPos val="ct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'Green Street National'!$A$4:$A$18</c:f>
              <c:strCache>
                <c:ptCount val="1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strCache>
            </c:strRef>
          </c:cat>
          <c:val>
            <c:numRef>
              <c:f>'Green Street National'!$H$4:$H$18</c:f>
              <c:numCache>
                <c:formatCode>0.00%</c:formatCode>
                <c:ptCount val="15"/>
                <c:pt idx="0">
                  <c:v>0.0149858</c:v>
                </c:pt>
                <c:pt idx="1">
                  <c:v>0.01686709</c:v>
                </c:pt>
                <c:pt idx="2">
                  <c:v>0.01575162</c:v>
                </c:pt>
                <c:pt idx="3">
                  <c:v>0.0159728</c:v>
                </c:pt>
                <c:pt idx="4">
                  <c:v>0.01823612</c:v>
                </c:pt>
                <c:pt idx="5">
                  <c:v>0.01970652</c:v>
                </c:pt>
                <c:pt idx="6">
                  <c:v>0.02073482</c:v>
                </c:pt>
                <c:pt idx="7">
                  <c:v>0.02301904</c:v>
                </c:pt>
                <c:pt idx="8">
                  <c:v>0.0283895</c:v>
                </c:pt>
                <c:pt idx="9">
                  <c:v>0.02216701</c:v>
                </c:pt>
              </c:numCache>
            </c:numRef>
          </c:val>
        </c:ser>
        <c:ser>
          <c:idx val="1"/>
          <c:order val="1"/>
          <c:tx>
            <c:strRef>
              <c:f>"Supply Growth, Green Street forecast"</c:f>
              <c:strCache>
                <c:ptCount val="1"/>
                <c:pt idx="0">
                  <c:v>Supply Growth, Green Street forecast</c:v>
                </c:pt>
              </c:strCache>
            </c:strRef>
          </c:tx>
          <c:spPr>
            <a:solidFill>
              <a:srgbClr val="a9bcd1"/>
            </a:solidFill>
            <a:ln w="0">
              <a:noFill/>
            </a:ln>
          </c:spPr>
          <c:invertIfNegative val="0"/>
          <c:dLbls>
            <c:txPr>
              <a:bodyPr wrap="square"/>
              <a:lstStyle/>
              <a:p>
                <a:pPr>
                  <a:defRPr b="0" sz="1000" spc="-1" strike="noStrike">
                    <a:solidFill>
                      <a:srgbClr val="000000"/>
                    </a:solidFill>
                    <a:latin typeface="Calibri"/>
                  </a:defRPr>
                </a:pPr>
              </a:p>
            </c:txPr>
            <c:dLblPos val="ct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'Green Street National'!$A$4:$A$18</c:f>
              <c:strCache>
                <c:ptCount val="1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strCache>
            </c:strRef>
          </c:cat>
          <c:val>
            <c:numRef>
              <c:f>'Green Street National'!$I$4:$I$18</c:f>
              <c:numCache>
                <c:formatCode>0.00%</c:formatCode>
                <c:ptCount val="15"/>
                <c:pt idx="10">
                  <c:v>0.01712276</c:v>
                </c:pt>
                <c:pt idx="11">
                  <c:v>0.013</c:v>
                </c:pt>
                <c:pt idx="12">
                  <c:v>0.012</c:v>
                </c:pt>
                <c:pt idx="13">
                  <c:v>0.013</c:v>
                </c:pt>
                <c:pt idx="14">
                  <c:v>0.013</c:v>
                </c:pt>
              </c:numCache>
            </c:numRef>
          </c:val>
        </c:ser>
        <c:gapWidth val="150"/>
        <c:overlap val="100"/>
        <c:axId val="31199050"/>
        <c:axId val="85163919"/>
      </c:barChart>
      <c:catAx>
        <c:axId val="31199050"/>
        <c:scaling>
          <c:orientation val="minMax"/>
        </c:scaling>
        <c:delete val="0"/>
        <c:axPos val="b"/>
        <c:numFmt formatCode="General"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85163919"/>
        <c:crosses val="autoZero"/>
        <c:auto val="1"/>
        <c:lblAlgn val="ctr"/>
        <c:lblOffset val="100"/>
        <c:noMultiLvlLbl val="0"/>
      </c:catAx>
      <c:valAx>
        <c:axId val="85163919"/>
        <c:scaling>
          <c:orientation val="minMax"/>
        </c:scaling>
        <c:delete val="0"/>
        <c:axPos val="l"/>
        <c:majorGridlines>
          <c:spPr>
            <a:ln w="0">
              <a:solidFill>
                <a:srgbClr val="b3b3b3"/>
              </a:solidFill>
            </a:ln>
          </c:spPr>
        </c:majorGridlines>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31199050"/>
        <c:crosses val="autoZero"/>
        <c:crossBetween val="between"/>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27.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Operating Fundamentals: CoStar Market Asking Rent ($/Unit) (2016-2025)</a:t>
            </a:r>
          </a:p>
        </c:rich>
      </c:tx>
      <c:overlay val="0"/>
      <c:spPr>
        <a:noFill/>
        <a:ln w="0">
          <a:noFill/>
        </a:ln>
      </c:spPr>
    </c:title>
    <c:autoTitleDeleted val="0"/>
    <c:plotArea>
      <c:layout>
        <c:manualLayout>
          <c:layoutTarget val="inner"/>
          <c:xMode val="edge"/>
          <c:yMode val="edge"/>
          <c:x val="0.100043050634169"/>
          <c:y val="0.16016016016016"/>
          <c:w val="0.799450276517535"/>
          <c:h val="0.61961961961962"/>
        </c:manualLayout>
      </c:layout>
      <c:scatterChart>
        <c:scatterStyle val="lineMarker"/>
        <c:varyColors val="0"/>
        <c:ser>
          <c:idx val="0"/>
          <c:order val="0"/>
          <c:tx>
            <c:strRef>
              <c:f>"CoStar Market Asking Rent ($/Unit)"</c:f>
              <c:strCache>
                <c:ptCount val="1"/>
                <c:pt idx="0">
                  <c:v>CoStar Market Asking Rent ($/Unit)</c:v>
                </c:pt>
              </c:strCache>
            </c:strRef>
          </c:tx>
          <c:spPr>
            <a:solidFill>
              <a:srgbClr val="1f3b57"/>
            </a:solidFill>
            <a:ln w="28440">
              <a:solidFill>
                <a:srgbClr val="1f3b57"/>
              </a:solidFill>
              <a:round/>
            </a:ln>
          </c:spPr>
          <c:marker>
            <c:symbol val="circle"/>
            <c:size val="5"/>
            <c:spPr>
              <a:solidFill>
                <a:srgbClr val="1f3b57"/>
              </a:solidFill>
            </c:spPr>
          </c:marker>
          <c:dPt>
            <c:idx val="0"/>
            <c:marker>
              <c:symbol val="circle"/>
              <c:size val="5"/>
              <c:spPr>
                <a:solidFill>
                  <a:srgbClr val="1f3b57"/>
                </a:solidFill>
              </c:spPr>
            </c:marker>
          </c:dPt>
          <c:dPt>
            <c:idx val="1"/>
            <c:marker>
              <c:symbol val="circle"/>
              <c:size val="5"/>
              <c:spPr>
                <a:solidFill>
                  <a:srgbClr val="1f3b57"/>
                </a:solidFill>
              </c:spPr>
            </c:marker>
          </c:dPt>
          <c:dPt>
            <c:idx val="2"/>
            <c:marker>
              <c:symbol val="circle"/>
              <c:size val="5"/>
              <c:spPr>
                <a:solidFill>
                  <a:srgbClr val="1f3b57"/>
                </a:solidFill>
              </c:spPr>
            </c:marker>
          </c:dPt>
          <c:dPt>
            <c:idx val="3"/>
            <c:marker>
              <c:symbol val="circle"/>
              <c:size val="5"/>
              <c:spPr>
                <a:solidFill>
                  <a:srgbClr val="1f3b57"/>
                </a:solidFill>
              </c:spPr>
            </c:marker>
          </c:dPt>
          <c:dPt>
            <c:idx val="4"/>
            <c:marker>
              <c:symbol val="circle"/>
              <c:size val="5"/>
              <c:spPr>
                <a:solidFill>
                  <a:srgbClr val="1f3b57"/>
                </a:solidFill>
              </c:spPr>
            </c:marker>
          </c:dPt>
          <c:dPt>
            <c:idx val="5"/>
            <c:marker>
              <c:symbol val="circle"/>
              <c:size val="5"/>
              <c:spPr>
                <a:solidFill>
                  <a:srgbClr val="1f3b57"/>
                </a:solidFill>
              </c:spPr>
            </c:marker>
          </c:dPt>
          <c:dPt>
            <c:idx val="6"/>
            <c:marker>
              <c:symbol val="circle"/>
              <c:size val="5"/>
              <c:spPr>
                <a:solidFill>
                  <a:srgbClr val="1f3b57"/>
                </a:solidFill>
              </c:spPr>
            </c:marker>
          </c:dPt>
          <c:dPt>
            <c:idx val="7"/>
            <c:marker>
              <c:symbol val="circle"/>
              <c:size val="5"/>
              <c:spPr>
                <a:solidFill>
                  <a:srgbClr val="1f3b57"/>
                </a:solidFill>
              </c:spPr>
            </c:marker>
          </c:dPt>
          <c:dPt>
            <c:idx val="8"/>
            <c:marker>
              <c:symbol val="circle"/>
              <c:size val="5"/>
              <c:spPr>
                <a:solidFill>
                  <a:srgbClr val="1f3b57"/>
                </a:solidFill>
              </c:spPr>
            </c:marker>
          </c:dPt>
          <c:dPt>
            <c:idx val="9"/>
            <c:marker>
              <c:symbol val="circle"/>
              <c:size val="5"/>
              <c:spPr>
                <a:solidFill>
                  <a:srgbClr val="1f3b57"/>
                </a:solidFill>
              </c:spPr>
            </c:marker>
          </c:dPt>
          <c:dLbls>
            <c:dLbl>
              <c:idx val="0"/>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1"/>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2"/>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3"/>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4"/>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5"/>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6"/>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7"/>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8"/>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9"/>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'CPT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'CPT vs Market'!$AA$4:$AA$13</c:f>
              <c:numCache>
                <c:formatCode>#,##0</c:formatCode>
                <c:ptCount val="10"/>
                <c:pt idx="0">
                  <c:v>1376.36653028372</c:v>
                </c:pt>
                <c:pt idx="1">
                  <c:v>1413.54736229744</c:v>
                </c:pt>
                <c:pt idx="2">
                  <c:v>1455.35257948066</c:v>
                </c:pt>
                <c:pt idx="3">
                  <c:v>1492.51299863927</c:v>
                </c:pt>
                <c:pt idx="4">
                  <c:v>1515.03157803764</c:v>
                </c:pt>
                <c:pt idx="5">
                  <c:v>1648.60423459865</c:v>
                </c:pt>
                <c:pt idx="6">
                  <c:v>1714.73423795083</c:v>
                </c:pt>
                <c:pt idx="7">
                  <c:v>1737.18200077721</c:v>
                </c:pt>
                <c:pt idx="8">
                  <c:v>1758.30089224859</c:v>
                </c:pt>
                <c:pt idx="9">
                  <c:v>1765.86107725045</c:v>
                </c:pt>
              </c:numCache>
            </c:numRef>
          </c:yVal>
          <c:smooth val="0"/>
        </c:ser>
        <c:axId val="37147712"/>
        <c:axId val="41966899"/>
      </c:scatterChart>
      <c:valAx>
        <c:axId val="37147712"/>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41966899"/>
        <c:crosses val="autoZero"/>
        <c:crossBetween val="midCat"/>
        <c:majorUnit val="1"/>
      </c:valAx>
      <c:valAx>
        <c:axId val="41966899"/>
        <c:scaling>
          <c:orientation val="minMax"/>
        </c:scaling>
        <c:delete val="0"/>
        <c:axPos val="l"/>
        <c:majorGridlines>
          <c:spPr>
            <a:ln w="0">
              <a:solidFill>
                <a:srgbClr val="b3b3b3"/>
              </a:solidFill>
            </a:ln>
          </c:spPr>
        </c:majorGridlines>
        <c:numFmt formatCode="\$0.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37147712"/>
        <c:crosses val="autoZero"/>
        <c:crossBetween val="midCat"/>
      </c:valAx>
      <c:spPr>
        <a:noFill/>
        <a:ln w="0">
          <a:noFill/>
        </a:ln>
      </c:spPr>
    </c:plotArea>
    <c:plotVisOnly val="1"/>
    <c:dispBlanksAs val="gap"/>
  </c:chart>
  <c:spPr>
    <a:solidFill>
      <a:srgbClr val="ffffff"/>
    </a:solidFill>
    <a:ln w="9360">
      <a:solidFill>
        <a:srgbClr val="d9d9d9"/>
      </a:solidFill>
      <a:round/>
    </a:ln>
  </c:spPr>
</c:chartSpace>
</file>

<file path=xl/charts/chart28.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Inflation and the Cost of Debt: CPI vs. Prime Rate (2016-2025)
2022: CPI averaged 8.0% while the prime rate averaged 4.9%; the prime rate followed to 8.3% by 2023.</a:t>
            </a:r>
          </a:p>
        </c:rich>
      </c:tx>
      <c:overlay val="0"/>
      <c:spPr>
        <a:noFill/>
        <a:ln w="0">
          <a:noFill/>
        </a:ln>
      </c:spPr>
    </c:title>
    <c:autoTitleDeleted val="0"/>
    <c:plotArea>
      <c:layout>
        <c:manualLayout>
          <c:layoutTarget val="inner"/>
          <c:xMode val="edge"/>
          <c:yMode val="edge"/>
          <c:x val="0.100043050634169"/>
          <c:y val="0.16016016016016"/>
          <c:w val="0.799450276517535"/>
          <c:h val="0.61961961961962"/>
        </c:manualLayout>
      </c:layout>
      <c:scatterChart>
        <c:scatterStyle val="lineMarker"/>
        <c:varyColors val="0"/>
        <c:ser>
          <c:idx val="0"/>
          <c:order val="0"/>
          <c:tx>
            <c:strRef>
              <c:f>"Bank Prime Loan Rate"</c:f>
              <c:strCache>
                <c:ptCount val="1"/>
                <c:pt idx="0">
                  <c:v>Bank Prime Loan Rate</c:v>
                </c:pt>
              </c:strCache>
            </c:strRef>
          </c:tx>
          <c:spPr>
            <a:solidFill>
              <a:srgbClr val="8a8a8a"/>
            </a:solidFill>
            <a:ln w="28440">
              <a:solidFill>
                <a:srgbClr val="8a8a8a"/>
              </a:solidFill>
              <a:round/>
            </a:ln>
          </c:spPr>
          <c:marker>
            <c:symbol val="triangle"/>
            <c:size val="5"/>
            <c:spPr>
              <a:solidFill>
                <a:srgbClr val="8a8a8a"/>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'CPT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'CPT vs Market'!$P$4:$P$13</c:f>
              <c:numCache>
                <c:formatCode>0.00%</c:formatCode>
                <c:ptCount val="10"/>
                <c:pt idx="0">
                  <c:v>0.0351</c:v>
                </c:pt>
                <c:pt idx="1">
                  <c:v>0.041</c:v>
                </c:pt>
                <c:pt idx="2">
                  <c:v>0.049</c:v>
                </c:pt>
                <c:pt idx="3">
                  <c:v>0.0528</c:v>
                </c:pt>
                <c:pt idx="4">
                  <c:v>0.0354</c:v>
                </c:pt>
                <c:pt idx="5">
                  <c:v>0.0325</c:v>
                </c:pt>
                <c:pt idx="6">
                  <c:v>0.0485</c:v>
                </c:pt>
                <c:pt idx="7">
                  <c:v>0.0819</c:v>
                </c:pt>
                <c:pt idx="8">
                  <c:v>0.0831</c:v>
                </c:pt>
                <c:pt idx="9">
                  <c:v>0.0737</c:v>
                </c:pt>
              </c:numCache>
            </c:numRef>
          </c:yVal>
          <c:smooth val="0"/>
        </c:ser>
        <c:ser>
          <c:idx val="1"/>
          <c:order val="1"/>
          <c:tx>
            <c:strRef>
              <c:f>"CPI Inflation (annual avg, YoY)"</c:f>
              <c:strCache>
                <c:ptCount val="1"/>
                <c:pt idx="0">
                  <c:v>CPI Inflation (annual avg, YoY)</c:v>
                </c:pt>
              </c:strCache>
            </c:strRef>
          </c:tx>
          <c:spPr>
            <a:solidFill>
              <a:srgbClr val="c08a00"/>
            </a:solidFill>
            <a:ln w="28440">
              <a:solidFill>
                <a:srgbClr val="c08a00"/>
              </a:solidFill>
              <a:round/>
            </a:ln>
          </c:spPr>
          <c:marker>
            <c:symbol val="diamond"/>
            <c:size val="5"/>
            <c:spPr>
              <a:solidFill>
                <a:srgbClr val="c08a00"/>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'CPT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'CPT vs Market'!$S$4:$S$13</c:f>
              <c:numCache>
                <c:formatCode>0.00%</c:formatCode>
                <c:ptCount val="10"/>
                <c:pt idx="0">
                  <c:v>0.0126707791495431</c:v>
                </c:pt>
                <c:pt idx="1">
                  <c:v>0.0213162225786963</c:v>
                </c:pt>
                <c:pt idx="2">
                  <c:v>0.0243920349541655</c:v>
                </c:pt>
                <c:pt idx="3">
                  <c:v>0.0181322182397452</c:v>
                </c:pt>
                <c:pt idx="4">
                  <c:v>0.0125287010127009</c:v>
                </c:pt>
                <c:pt idx="5">
                  <c:v>0.0468098093148315</c:v>
                </c:pt>
                <c:pt idx="6">
                  <c:v>0.0799083303502561</c:v>
                </c:pt>
                <c:pt idx="7">
                  <c:v>0.0412711105643382</c:v>
                </c:pt>
                <c:pt idx="8">
                  <c:v>0.0295205495187116</c:v>
                </c:pt>
                <c:pt idx="9">
                  <c:v>0.0263438083762091</c:v>
                </c:pt>
              </c:numCache>
            </c:numRef>
          </c:yVal>
          <c:smooth val="0"/>
        </c:ser>
        <c:axId val="41051340"/>
        <c:axId val="71615945"/>
      </c:scatterChart>
      <c:valAx>
        <c:axId val="41051340"/>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71615945"/>
        <c:crosses val="autoZero"/>
        <c:crossBetween val="midCat"/>
        <c:majorUnit val="1"/>
      </c:valAx>
      <c:valAx>
        <c:axId val="71615945"/>
        <c:scaling>
          <c:orientation val="minMax"/>
        </c:scaling>
        <c:delete val="0"/>
        <c:axPos val="l"/>
        <c:majorGridlines>
          <c:spPr>
            <a:ln w="0">
              <a:solidFill>
                <a:srgbClr val="b3b3b3"/>
              </a:solidFill>
            </a:ln>
          </c:spPr>
        </c:majorGridlines>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41051340"/>
        <c:crosses val="autoZero"/>
        <c:crossBetween val="midCat"/>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29.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Valuation: Gross NOI Multiple (2016-2025)
CPT figures are aggregate, not per share; shares outstanding grew 1.8% per year on average (17% cumulative, 2016-2025).</a:t>
            </a:r>
          </a:p>
        </c:rich>
      </c:tx>
      <c:overlay val="0"/>
      <c:spPr>
        <a:noFill/>
        <a:ln w="0">
          <a:noFill/>
        </a:ln>
      </c:spPr>
    </c:title>
    <c:autoTitleDeleted val="0"/>
    <c:plotArea>
      <c:layout>
        <c:manualLayout>
          <c:layoutTarget val="inner"/>
          <c:xMode val="edge"/>
          <c:yMode val="edge"/>
          <c:x val="0.100043050634169"/>
          <c:y val="0.16016016016016"/>
          <c:w val="0.799450276517535"/>
          <c:h val="0.61961961961962"/>
        </c:manualLayout>
      </c:layout>
      <c:scatterChart>
        <c:scatterStyle val="lineMarker"/>
        <c:varyColors val="0"/>
        <c:ser>
          <c:idx val="0"/>
          <c:order val="0"/>
          <c:tx>
            <c:strRef>
              <c:f>"Gross NOI Multiple (x)"</c:f>
              <c:strCache>
                <c:ptCount val="1"/>
                <c:pt idx="0">
                  <c:v>Gross NOI Multiple (x)</c:v>
                </c:pt>
              </c:strCache>
            </c:strRef>
          </c:tx>
          <c:spPr>
            <a:solidFill>
              <a:srgbClr val="a31f34"/>
            </a:solidFill>
            <a:ln w="28440">
              <a:solidFill>
                <a:srgbClr val="a31f34"/>
              </a:solidFill>
              <a:round/>
            </a:ln>
          </c:spPr>
          <c:marker>
            <c:symbol val="square"/>
            <c:size val="5"/>
            <c:spPr>
              <a:solidFill>
                <a:srgbClr val="a31f34"/>
              </a:solidFill>
            </c:spPr>
          </c:marker>
          <c:dPt>
            <c:idx val="0"/>
            <c:marker>
              <c:symbol val="square"/>
              <c:size val="5"/>
              <c:spPr>
                <a:solidFill>
                  <a:srgbClr val="a31f34"/>
                </a:solidFill>
              </c:spPr>
            </c:marker>
          </c:dPt>
          <c:dPt>
            <c:idx val="1"/>
            <c:marker>
              <c:symbol val="square"/>
              <c:size val="5"/>
              <c:spPr>
                <a:solidFill>
                  <a:srgbClr val="a31f34"/>
                </a:solidFill>
              </c:spPr>
            </c:marker>
          </c:dPt>
          <c:dPt>
            <c:idx val="2"/>
            <c:marker>
              <c:symbol val="square"/>
              <c:size val="5"/>
              <c:spPr>
                <a:solidFill>
                  <a:srgbClr val="a31f34"/>
                </a:solidFill>
              </c:spPr>
            </c:marker>
          </c:dPt>
          <c:dPt>
            <c:idx val="3"/>
            <c:marker>
              <c:symbol val="square"/>
              <c:size val="5"/>
              <c:spPr>
                <a:solidFill>
                  <a:srgbClr val="a31f34"/>
                </a:solidFill>
              </c:spPr>
            </c:marker>
          </c:dPt>
          <c:dPt>
            <c:idx val="4"/>
            <c:marker>
              <c:symbol val="square"/>
              <c:size val="5"/>
              <c:spPr>
                <a:solidFill>
                  <a:srgbClr val="a31f34"/>
                </a:solidFill>
              </c:spPr>
            </c:marker>
          </c:dPt>
          <c:dPt>
            <c:idx val="5"/>
            <c:marker>
              <c:symbol val="square"/>
              <c:size val="5"/>
              <c:spPr>
                <a:solidFill>
                  <a:srgbClr val="a31f34"/>
                </a:solidFill>
              </c:spPr>
            </c:marker>
          </c:dPt>
          <c:dPt>
            <c:idx val="6"/>
            <c:marker>
              <c:symbol val="square"/>
              <c:size val="5"/>
              <c:spPr>
                <a:solidFill>
                  <a:srgbClr val="a31f34"/>
                </a:solidFill>
              </c:spPr>
            </c:marker>
          </c:dPt>
          <c:dPt>
            <c:idx val="7"/>
            <c:marker>
              <c:symbol val="square"/>
              <c:size val="5"/>
              <c:spPr>
                <a:solidFill>
                  <a:srgbClr val="a31f34"/>
                </a:solidFill>
              </c:spPr>
            </c:marker>
          </c:dPt>
          <c:dPt>
            <c:idx val="8"/>
            <c:marker>
              <c:symbol val="square"/>
              <c:size val="5"/>
              <c:spPr>
                <a:solidFill>
                  <a:srgbClr val="a31f34"/>
                </a:solidFill>
              </c:spPr>
            </c:marker>
          </c:dPt>
          <c:dPt>
            <c:idx val="9"/>
            <c:marker>
              <c:symbol val="square"/>
              <c:size val="5"/>
              <c:spPr>
                <a:solidFill>
                  <a:srgbClr val="a31f34"/>
                </a:solidFill>
              </c:spPr>
            </c:marker>
          </c:dPt>
          <c:dLbls>
            <c:dLbl>
              <c:idx val="0"/>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1"/>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2"/>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3"/>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4"/>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5"/>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6"/>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7"/>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8"/>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9"/>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'CPT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'CPT vs Market'!$J$4:$J$13</c:f>
              <c:numCache>
                <c:formatCode>0.0</c:formatCode>
                <c:ptCount val="10"/>
                <c:pt idx="0">
                  <c:v>17.2885572791687</c:v>
                </c:pt>
                <c:pt idx="1">
                  <c:v>18.8164946849974</c:v>
                </c:pt>
                <c:pt idx="2">
                  <c:v>17.3347072313177</c:v>
                </c:pt>
                <c:pt idx="3">
                  <c:v>19.2376767444881</c:v>
                </c:pt>
                <c:pt idx="4">
                  <c:v>19.6024530863113</c:v>
                </c:pt>
                <c:pt idx="5">
                  <c:v>30.016829442854</c:v>
                </c:pt>
                <c:pt idx="6">
                  <c:v>16.7386766161084</c:v>
                </c:pt>
                <c:pt idx="7">
                  <c:v>14.2822812043415</c:v>
                </c:pt>
                <c:pt idx="8">
                  <c:v>16.1034456979789</c:v>
                </c:pt>
                <c:pt idx="9">
                  <c:v>15.2447747692271</c:v>
                </c:pt>
              </c:numCache>
            </c:numRef>
          </c:yVal>
          <c:smooth val="0"/>
        </c:ser>
        <c:axId val="17523772"/>
        <c:axId val="15693662"/>
      </c:scatterChart>
      <c:valAx>
        <c:axId val="17523772"/>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15693662"/>
        <c:crosses val="autoZero"/>
        <c:crossBetween val="midCat"/>
        <c:majorUnit val="1"/>
      </c:valAx>
      <c:valAx>
        <c:axId val="15693662"/>
        <c:scaling>
          <c:orientation val="minMax"/>
        </c:scaling>
        <c:delete val="0"/>
        <c:axPos val="l"/>
        <c:majorGridlines>
          <c:spPr>
            <a:ln w="0">
              <a:solidFill>
                <a:srgbClr val="b3b3b3"/>
              </a:solidFill>
            </a:ln>
          </c:spPr>
        </c:majorGridlines>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17523772"/>
        <c:crosses val="autoZero"/>
        <c:crossBetween val="midCat"/>
      </c:valAx>
      <c:spPr>
        <a:noFill/>
        <a:ln w="0">
          <a:noFill/>
        </a:ln>
      </c:spPr>
    </c:plotArea>
    <c:plotVisOnly val="1"/>
    <c:dispBlanksAs val="gap"/>
  </c:chart>
  <c:spPr>
    <a:solidFill>
      <a:srgbClr val="ffffff"/>
    </a:solidFill>
    <a:ln w="9360">
      <a:solidFill>
        <a:srgbClr val="d9d9d9"/>
      </a:solidFill>
      <a:round/>
    </a:ln>
  </c:spPr>
</c:chartSpace>
</file>

<file path=xl/charts/chart3.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Valuation: Gross NOI Multiple (2016-2025)
AVB figures are aggregate, not per share; shares outstanding grew 0.3% per year on average (3% cumulative, 2016-2025).</a:t>
            </a:r>
          </a:p>
        </c:rich>
      </c:tx>
      <c:overlay val="0"/>
      <c:spPr>
        <a:noFill/>
        <a:ln w="0">
          <a:noFill/>
        </a:ln>
      </c:spPr>
    </c:title>
    <c:autoTitleDeleted val="0"/>
    <c:plotArea>
      <c:layout>
        <c:manualLayout>
          <c:layoutTarget val="inner"/>
          <c:xMode val="edge"/>
          <c:yMode val="edge"/>
          <c:x val="0.100043050634169"/>
          <c:y val="0.16016016016016"/>
          <c:w val="0.799450276517535"/>
          <c:h val="0.61961961961962"/>
        </c:manualLayout>
      </c:layout>
      <c:scatterChart>
        <c:scatterStyle val="lineMarker"/>
        <c:varyColors val="0"/>
        <c:ser>
          <c:idx val="0"/>
          <c:order val="0"/>
          <c:tx>
            <c:strRef>
              <c:f>"Gross NOI Multiple (x)"</c:f>
              <c:strCache>
                <c:ptCount val="1"/>
                <c:pt idx="0">
                  <c:v>Gross NOI Multiple (x)</c:v>
                </c:pt>
              </c:strCache>
            </c:strRef>
          </c:tx>
          <c:spPr>
            <a:solidFill>
              <a:srgbClr val="a31f34"/>
            </a:solidFill>
            <a:ln w="28440">
              <a:solidFill>
                <a:srgbClr val="a31f34"/>
              </a:solidFill>
              <a:round/>
            </a:ln>
          </c:spPr>
          <c:marker>
            <c:symbol val="square"/>
            <c:size val="5"/>
            <c:spPr>
              <a:solidFill>
                <a:srgbClr val="a31f34"/>
              </a:solidFill>
            </c:spPr>
          </c:marker>
          <c:dPt>
            <c:idx val="0"/>
            <c:marker>
              <c:symbol val="square"/>
              <c:size val="5"/>
              <c:spPr>
                <a:solidFill>
                  <a:srgbClr val="a31f34"/>
                </a:solidFill>
              </c:spPr>
            </c:marker>
          </c:dPt>
          <c:dPt>
            <c:idx val="1"/>
            <c:marker>
              <c:symbol val="square"/>
              <c:size val="5"/>
              <c:spPr>
                <a:solidFill>
                  <a:srgbClr val="a31f34"/>
                </a:solidFill>
              </c:spPr>
            </c:marker>
          </c:dPt>
          <c:dPt>
            <c:idx val="2"/>
            <c:marker>
              <c:symbol val="square"/>
              <c:size val="5"/>
              <c:spPr>
                <a:solidFill>
                  <a:srgbClr val="a31f34"/>
                </a:solidFill>
              </c:spPr>
            </c:marker>
          </c:dPt>
          <c:dPt>
            <c:idx val="3"/>
            <c:marker>
              <c:symbol val="square"/>
              <c:size val="5"/>
              <c:spPr>
                <a:solidFill>
                  <a:srgbClr val="a31f34"/>
                </a:solidFill>
              </c:spPr>
            </c:marker>
          </c:dPt>
          <c:dPt>
            <c:idx val="4"/>
            <c:marker>
              <c:symbol val="square"/>
              <c:size val="5"/>
              <c:spPr>
                <a:solidFill>
                  <a:srgbClr val="a31f34"/>
                </a:solidFill>
              </c:spPr>
            </c:marker>
          </c:dPt>
          <c:dPt>
            <c:idx val="5"/>
            <c:marker>
              <c:symbol val="square"/>
              <c:size val="5"/>
              <c:spPr>
                <a:solidFill>
                  <a:srgbClr val="a31f34"/>
                </a:solidFill>
              </c:spPr>
            </c:marker>
          </c:dPt>
          <c:dPt>
            <c:idx val="6"/>
            <c:marker>
              <c:symbol val="square"/>
              <c:size val="5"/>
              <c:spPr>
                <a:solidFill>
                  <a:srgbClr val="a31f34"/>
                </a:solidFill>
              </c:spPr>
            </c:marker>
          </c:dPt>
          <c:dPt>
            <c:idx val="7"/>
            <c:marker>
              <c:symbol val="square"/>
              <c:size val="5"/>
              <c:spPr>
                <a:solidFill>
                  <a:srgbClr val="a31f34"/>
                </a:solidFill>
              </c:spPr>
            </c:marker>
          </c:dPt>
          <c:dPt>
            <c:idx val="8"/>
            <c:marker>
              <c:symbol val="square"/>
              <c:size val="5"/>
              <c:spPr>
                <a:solidFill>
                  <a:srgbClr val="a31f34"/>
                </a:solidFill>
              </c:spPr>
            </c:marker>
          </c:dPt>
          <c:dPt>
            <c:idx val="9"/>
            <c:marker>
              <c:symbol val="square"/>
              <c:size val="5"/>
              <c:spPr>
                <a:solidFill>
                  <a:srgbClr val="a31f34"/>
                </a:solidFill>
              </c:spPr>
            </c:marker>
          </c:dPt>
          <c:dLbls>
            <c:dLbl>
              <c:idx val="0"/>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1"/>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2"/>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3"/>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4"/>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5"/>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6"/>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7"/>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8"/>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9"/>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'AVB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'AVB vs Market'!$J$4:$J$13</c:f>
              <c:numCache>
                <c:formatCode>0.0</c:formatCode>
                <c:ptCount val="10"/>
                <c:pt idx="0">
                  <c:v>20.8363831982346</c:v>
                </c:pt>
                <c:pt idx="1">
                  <c:v>20.5316281472658</c:v>
                </c:pt>
                <c:pt idx="2">
                  <c:v>19.0285671422058</c:v>
                </c:pt>
                <c:pt idx="3">
                  <c:v>21.8085868335372</c:v>
                </c:pt>
                <c:pt idx="4">
                  <c:v>18.6466413650101</c:v>
                </c:pt>
                <c:pt idx="5">
                  <c:v>28.0262428142087</c:v>
                </c:pt>
                <c:pt idx="6">
                  <c:v>16.7998167803347</c:v>
                </c:pt>
                <c:pt idx="7">
                  <c:v>17.5454543332337</c:v>
                </c:pt>
                <c:pt idx="8">
                  <c:v>19.3343151618568</c:v>
                </c:pt>
                <c:pt idx="9">
                  <c:v>16.495328488804</c:v>
                </c:pt>
              </c:numCache>
            </c:numRef>
          </c:yVal>
          <c:smooth val="0"/>
        </c:ser>
        <c:axId val="87085042"/>
        <c:axId val="37444137"/>
      </c:scatterChart>
      <c:valAx>
        <c:axId val="87085042"/>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37444137"/>
        <c:crosses val="autoZero"/>
        <c:crossBetween val="midCat"/>
        <c:majorUnit val="1"/>
      </c:valAx>
      <c:valAx>
        <c:axId val="37444137"/>
        <c:scaling>
          <c:orientation val="minMax"/>
        </c:scaling>
        <c:delete val="0"/>
        <c:axPos val="l"/>
        <c:majorGridlines>
          <c:spPr>
            <a:ln w="0">
              <a:solidFill>
                <a:srgbClr val="b3b3b3"/>
              </a:solidFill>
            </a:ln>
          </c:spPr>
        </c:majorGridlines>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87085042"/>
        <c:crosses val="autoZero"/>
        <c:crossBetween val="midCat"/>
      </c:valAx>
      <c:spPr>
        <a:noFill/>
        <a:ln w="0">
          <a:noFill/>
        </a:ln>
      </c:spPr>
    </c:plotArea>
    <c:plotVisOnly val="1"/>
    <c:dispBlanksAs val="gap"/>
  </c:chart>
  <c:spPr>
    <a:solidFill>
      <a:srgbClr val="ffffff"/>
    </a:solidFill>
    <a:ln w="9360">
      <a:solidFill>
        <a:srgbClr val="d9d9d9"/>
      </a:solidFill>
      <a:round/>
    </a:ln>
  </c:spPr>
</c:chartSpace>
</file>

<file path=xl/charts/chart30.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800" spc="-1" strike="noStrike">
                <a:solidFill>
                  <a:srgbClr val="000000"/>
                </a:solidFill>
                <a:latin typeface="Calibri"/>
              </a:defRPr>
            </a:pPr>
            <a:r>
              <a:rPr b="1" lang="en-US" sz="1800" spc="-1" strike="noStrike">
                <a:solidFill>
                  <a:srgbClr val="000000"/>
                </a:solidFill>
                <a:latin typeface="Calibri"/>
              </a:rPr>
              <a:t>CPT Stabilized Implied Cap Rate vs. 10-Yr UST, with Spread (2016-2025)</a:t>
            </a:r>
          </a:p>
        </c:rich>
      </c:tx>
      <c:overlay val="0"/>
      <c:spPr>
        <a:noFill/>
        <a:ln w="0">
          <a:noFill/>
        </a:ln>
      </c:spPr>
    </c:title>
    <c:autoTitleDeleted val="0"/>
    <c:plotArea>
      <c:layout>
        <c:manualLayout>
          <c:layoutTarget val="inner"/>
          <c:xMode val="edge"/>
          <c:yMode val="edge"/>
          <c:x val="0.100043050634169"/>
          <c:y val="0.14014014014014"/>
          <c:w val="0.799450276517535"/>
          <c:h val="0.67967967967968"/>
        </c:manualLayout>
      </c:layout>
      <c:barChart>
        <c:barDir val="col"/>
        <c:grouping val="clustered"/>
        <c:varyColors val="0"/>
        <c:ser>
          <c:idx val="0"/>
          <c:order val="0"/>
          <c:tx>
            <c:strRef>
              <c:f>'CPT vs Market'!$D$3</c:f>
              <c:strCache>
                <c:ptCount val="1"/>
                <c:pt idx="0">
                  <c:v>Spread: Cap Rate less UST (pp)</c:v>
                </c:pt>
              </c:strCache>
            </c:strRef>
          </c:tx>
          <c:spPr>
            <a:solidFill>
              <a:srgbClr val="d9a0a8"/>
            </a:solidFill>
            <a:ln w="0">
              <a:solidFill>
                <a:srgbClr val="b87b85"/>
              </a:solidFill>
            </a:ln>
          </c:spPr>
          <c:invertIfNegative val="0"/>
          <c:dLbls>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'CPT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'CPT vs Market'!$D$4:$D$13</c:f>
              <c:numCache>
                <c:formatCode>0.00%</c:formatCode>
                <c:ptCount val="10"/>
                <c:pt idx="0">
                  <c:v>0.0333417264004393</c:v>
                </c:pt>
                <c:pt idx="1">
                  <c:v>0.0291448612900952</c:v>
                </c:pt>
                <c:pt idx="2">
                  <c:v>0.0307877351694381</c:v>
                </c:pt>
                <c:pt idx="3">
                  <c:v>0.0327813287894296</c:v>
                </c:pt>
                <c:pt idx="4">
                  <c:v>0.0417140233774269</c:v>
                </c:pt>
                <c:pt idx="5">
                  <c:v>0.0181146444365085</c:v>
                </c:pt>
                <c:pt idx="6">
                  <c:v>0.0209418794170177</c:v>
                </c:pt>
                <c:pt idx="7">
                  <c:v>0.0312168261423126</c:v>
                </c:pt>
                <c:pt idx="8">
                  <c:v>0.0162985110115601</c:v>
                </c:pt>
                <c:pt idx="9">
                  <c:v>0.0237962462639059</c:v>
                </c:pt>
              </c:numCache>
            </c:numRef>
          </c:val>
        </c:ser>
        <c:gapWidth val="80"/>
        <c:overlap val="0"/>
        <c:axId val="71993263"/>
        <c:axId val="36084927"/>
      </c:barChart>
      <c:lineChart>
        <c:grouping val="standard"/>
        <c:varyColors val="0"/>
        <c:ser>
          <c:idx val="1"/>
          <c:order val="1"/>
          <c:tx>
            <c:strRef>
              <c:f>'CPT vs Market'!$B$3</c:f>
              <c:strCache>
                <c:ptCount val="1"/>
                <c:pt idx="0">
                  <c:v>CPT Stabilized Implied Cap Rate (%)</c:v>
                </c:pt>
              </c:strCache>
            </c:strRef>
          </c:tx>
          <c:spPr>
            <a:solidFill>
              <a:srgbClr val="a31f34"/>
            </a:solidFill>
            <a:ln w="28080">
              <a:solidFill>
                <a:srgbClr val="a31f34"/>
              </a:solidFill>
              <a:round/>
            </a:ln>
          </c:spPr>
          <c:marker>
            <c:symbol val="circle"/>
            <c:size val="6"/>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'CPT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'CPT vs Market'!$B$4:$B$13</c:f>
              <c:numCache>
                <c:formatCode>0.00%</c:formatCode>
                <c:ptCount val="10"/>
                <c:pt idx="0">
                  <c:v>0.0578417264004393</c:v>
                </c:pt>
                <c:pt idx="1">
                  <c:v>0.0531448612900952</c:v>
                </c:pt>
                <c:pt idx="2">
                  <c:v>0.0576877351694381</c:v>
                </c:pt>
                <c:pt idx="3">
                  <c:v>0.0519813287894296</c:v>
                </c:pt>
                <c:pt idx="4">
                  <c:v>0.0510140233774269</c:v>
                </c:pt>
                <c:pt idx="5">
                  <c:v>0.0333146444365085</c:v>
                </c:pt>
                <c:pt idx="6">
                  <c:v>0.0597418794170177</c:v>
                </c:pt>
                <c:pt idx="7">
                  <c:v>0.0700168261423126</c:v>
                </c:pt>
                <c:pt idx="8">
                  <c:v>0.0620985110115601</c:v>
                </c:pt>
                <c:pt idx="9">
                  <c:v>0.0655962462639059</c:v>
                </c:pt>
              </c:numCache>
            </c:numRef>
          </c:val>
          <c:smooth val="0"/>
        </c:ser>
        <c:ser>
          <c:idx val="2"/>
          <c:order val="2"/>
          <c:tx>
            <c:strRef>
              <c:f>'CPT vs Market'!$C$3</c:f>
              <c:strCache>
                <c:ptCount val="1"/>
                <c:pt idx="0">
                  <c:v>10-Yr UST Yield (%)</c:v>
                </c:pt>
              </c:strCache>
            </c:strRef>
          </c:tx>
          <c:spPr>
            <a:solidFill>
              <a:srgbClr val="3a3a3a"/>
            </a:solidFill>
            <a:ln w="28080">
              <a:solidFill>
                <a:srgbClr val="3a3a3a"/>
              </a:solidFill>
              <a:round/>
            </a:ln>
          </c:spPr>
          <c:marker>
            <c:symbol val="circle"/>
            <c:size val="6"/>
            <c:spPr>
              <a:solidFill>
                <a:srgbClr val="3a3a3a"/>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'CPT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'CPT vs Market'!$C$4:$C$13</c:f>
              <c:numCache>
                <c:formatCode>0.00%</c:formatCode>
                <c:ptCount val="10"/>
                <c:pt idx="0">
                  <c:v>0.0245</c:v>
                </c:pt>
                <c:pt idx="1">
                  <c:v>0.024</c:v>
                </c:pt>
                <c:pt idx="2">
                  <c:v>0.0269</c:v>
                </c:pt>
                <c:pt idx="3">
                  <c:v>0.0192</c:v>
                </c:pt>
                <c:pt idx="4">
                  <c:v>0.0093</c:v>
                </c:pt>
                <c:pt idx="5">
                  <c:v>0.0152</c:v>
                </c:pt>
                <c:pt idx="6">
                  <c:v>0.0388</c:v>
                </c:pt>
                <c:pt idx="7">
                  <c:v>0.0388</c:v>
                </c:pt>
                <c:pt idx="8">
                  <c:v>0.0458</c:v>
                </c:pt>
                <c:pt idx="9">
                  <c:v>0.0418</c:v>
                </c:pt>
              </c:numCache>
            </c:numRef>
          </c:val>
          <c:smooth val="0"/>
        </c:ser>
        <c:hiLowLines>
          <c:spPr>
            <a:ln w="0">
              <a:noFill/>
            </a:ln>
          </c:spPr>
        </c:hiLowLines>
        <c:marker val="1"/>
        <c:axId val="73442796"/>
        <c:axId val="22043254"/>
      </c:lineChart>
      <c:catAx>
        <c:axId val="71993263"/>
        <c:scaling>
          <c:orientation val="minMax"/>
        </c:scaling>
        <c:delete val="0"/>
        <c:axPos val="b"/>
        <c:numFmt formatCode="General"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36084927"/>
        <c:crosses val="autoZero"/>
        <c:auto val="1"/>
        <c:lblAlgn val="ctr"/>
        <c:lblOffset val="100"/>
        <c:noMultiLvlLbl val="0"/>
      </c:catAx>
      <c:valAx>
        <c:axId val="36084927"/>
        <c:scaling>
          <c:orientation val="minMax"/>
        </c:scaling>
        <c:delete val="0"/>
        <c:axPos val="l"/>
        <c:majorGridlines>
          <c:spPr>
            <a:ln w="0">
              <a:solidFill>
                <a:srgbClr val="b3b3b3"/>
              </a:solidFill>
            </a:ln>
          </c:spPr>
        </c:majorGridlines>
        <c:title>
          <c:tx>
            <c:rich>
              <a:bodyPr rot="-5400000"/>
              <a:lstStyle/>
              <a:p>
                <a:pPr>
                  <a:defRPr b="1" lang="en-US" sz="1000" spc="-1" strike="noStrike">
                    <a:solidFill>
                      <a:srgbClr val="000000"/>
                    </a:solidFill>
                    <a:latin typeface="Calibri"/>
                  </a:defRPr>
                </a:pPr>
                <a:r>
                  <a:rPr b="1" lang="en-US" sz="1000" spc="-1" strike="noStrike">
                    <a:solidFill>
                      <a:srgbClr val="000000"/>
                    </a:solidFill>
                    <a:latin typeface="Calibri"/>
                  </a:rPr>
                  <a:t>Spread (pct pts)</a:t>
                </a:r>
              </a:p>
            </c:rich>
          </c:tx>
          <c:overlay val="0"/>
          <c:spPr>
            <a:noFill/>
            <a:ln w="0">
              <a:noFill/>
            </a:ln>
          </c:spPr>
        </c:title>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71993263"/>
        <c:crosses val="autoZero"/>
        <c:crossBetween val="between"/>
      </c:valAx>
      <c:catAx>
        <c:axId val="73442796"/>
        <c:scaling>
          <c:orientation val="minMax"/>
        </c:scaling>
        <c:delete val="1"/>
        <c:axPos val="t"/>
        <c:numFmt formatCode="General" sourceLinked="1"/>
        <c:majorTickMark val="none"/>
        <c:minorTickMark val="none"/>
        <c:tickLblPos val="none"/>
        <c:spPr>
          <a:ln w="0">
            <a:solidFill>
              <a:srgbClr val="b3b3b3"/>
            </a:solidFill>
          </a:ln>
        </c:spPr>
        <c:txPr>
          <a:bodyPr/>
          <a:lstStyle/>
          <a:p>
            <a:pPr>
              <a:defRPr b="0" sz="1000" spc="-1" strike="noStrike">
                <a:solidFill>
                  <a:srgbClr val="000000"/>
                </a:solidFill>
                <a:latin typeface="Calibri"/>
              </a:defRPr>
            </a:pPr>
          </a:p>
        </c:txPr>
        <c:crossAx val="22043254"/>
        <c:auto val="1"/>
        <c:lblAlgn val="ctr"/>
        <c:lblOffset val="100"/>
        <c:noMultiLvlLbl val="0"/>
      </c:catAx>
      <c:valAx>
        <c:axId val="22043254"/>
        <c:scaling>
          <c:orientation val="minMax"/>
        </c:scaling>
        <c:delete val="0"/>
        <c:axPos val="r"/>
        <c:title>
          <c:tx>
            <c:rich>
              <a:bodyPr rot="-5400000"/>
              <a:lstStyle/>
              <a:p>
                <a:pPr>
                  <a:defRPr b="1" lang="en-US" sz="1000" spc="-1" strike="noStrike">
                    <a:solidFill>
                      <a:srgbClr val="000000"/>
                    </a:solidFill>
                    <a:latin typeface="Calibri"/>
                  </a:defRPr>
                </a:pPr>
                <a:r>
                  <a:rPr b="1" lang="en-US" sz="1000" spc="-1" strike="noStrike">
                    <a:solidFill>
                      <a:srgbClr val="000000"/>
                    </a:solidFill>
                    <a:latin typeface="Calibri"/>
                  </a:rPr>
                  <a:t>Yield (%)</a:t>
                </a:r>
              </a:p>
            </c:rich>
          </c:tx>
          <c:overlay val="0"/>
          <c:spPr>
            <a:noFill/>
            <a:ln w="0">
              <a:noFill/>
            </a:ln>
          </c:spPr>
        </c:title>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73442796"/>
        <c:crosses val="max"/>
        <c:crossBetween val="between"/>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31.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800" spc="-1" strike="noStrike">
                <a:solidFill>
                  <a:srgbClr val="000000"/>
                </a:solidFill>
                <a:latin typeface="Calibri"/>
              </a:defRPr>
            </a:pPr>
            <a:r>
              <a:rPr b="1" lang="en-US" sz="1800" spc="-1" strike="noStrike">
                <a:solidFill>
                  <a:srgbClr val="000000"/>
                </a:solidFill>
                <a:latin typeface="Calibri"/>
              </a:rPr>
              <a:t>CPT: Cap Rate vs. Leveraged Equity Yield (2016-2025)</a:t>
            </a:r>
          </a:p>
        </c:rich>
      </c:tx>
      <c:overlay val="0"/>
      <c:spPr>
        <a:noFill/>
        <a:ln w="0">
          <a:noFill/>
        </a:ln>
      </c:spPr>
    </c:title>
    <c:autoTitleDeleted val="0"/>
    <c:plotArea>
      <c:layout>
        <c:manualLayout>
          <c:layoutTarget val="inner"/>
          <c:xMode val="edge"/>
          <c:yMode val="edge"/>
          <c:x val="0.100043050634169"/>
          <c:y val="0.14014014014014"/>
          <c:w val="0.799450276517535"/>
          <c:h val="0.67967967967968"/>
        </c:manualLayout>
      </c:layout>
      <c:barChart>
        <c:barDir val="col"/>
        <c:grouping val="clustered"/>
        <c:varyColors val="0"/>
        <c:ser>
          <c:idx val="0"/>
          <c:order val="0"/>
          <c:tx>
            <c:strRef>
              <c:f>'CPT vs Market'!$F$3</c:f>
              <c:strCache>
                <c:ptCount val="1"/>
                <c:pt idx="0">
                  <c:v>Leverage Contribution: Lev Yield less Cap Rate (pp)</c:v>
                </c:pt>
              </c:strCache>
            </c:strRef>
          </c:tx>
          <c:spPr>
            <a:solidFill>
              <a:srgbClr val="9dbb9d"/>
            </a:solidFill>
            <a:ln w="0">
              <a:solidFill>
                <a:srgbClr val="7a9a7a"/>
              </a:solidFill>
            </a:ln>
          </c:spPr>
          <c:invertIfNegative val="0"/>
          <c:dLbls>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'CPT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'CPT vs Market'!$F$4:$F$13</c:f>
              <c:numCache>
                <c:formatCode>0.00%</c:formatCode>
                <c:ptCount val="10"/>
                <c:pt idx="0">
                  <c:v>0.00690578049978935</c:v>
                </c:pt>
                <c:pt idx="1">
                  <c:v>0.00355237307921407</c:v>
                </c:pt>
                <c:pt idx="2">
                  <c:v>0.00600644568625926</c:v>
                </c:pt>
                <c:pt idx="3">
                  <c:v>0.00494446917977687</c:v>
                </c:pt>
                <c:pt idx="4">
                  <c:v>0.00732726450309407</c:v>
                </c:pt>
                <c:pt idx="5">
                  <c:v>0.000446526148892915</c:v>
                </c:pt>
                <c:pt idx="6">
                  <c:v>0.00902613862917989</c:v>
                </c:pt>
                <c:pt idx="7">
                  <c:v>0.0121076828790032</c:v>
                </c:pt>
                <c:pt idx="8">
                  <c:v>0.00699973492675769</c:v>
                </c:pt>
                <c:pt idx="9">
                  <c:v>0.0102757214940503</c:v>
                </c:pt>
              </c:numCache>
            </c:numRef>
          </c:val>
        </c:ser>
        <c:gapWidth val="80"/>
        <c:overlap val="0"/>
        <c:axId val="10180487"/>
        <c:axId val="46294398"/>
      </c:barChart>
      <c:lineChart>
        <c:grouping val="standard"/>
        <c:varyColors val="0"/>
        <c:ser>
          <c:idx val="1"/>
          <c:order val="1"/>
          <c:tx>
            <c:strRef>
              <c:f>'CPT vs Market'!$B$3</c:f>
              <c:strCache>
                <c:ptCount val="1"/>
                <c:pt idx="0">
                  <c:v>CPT Stabilized Implied Cap Rate (%)</c:v>
                </c:pt>
              </c:strCache>
            </c:strRef>
          </c:tx>
          <c:spPr>
            <a:solidFill>
              <a:srgbClr val="a31f34"/>
            </a:solidFill>
            <a:ln w="28080">
              <a:solidFill>
                <a:srgbClr val="a31f34"/>
              </a:solidFill>
              <a:round/>
            </a:ln>
          </c:spPr>
          <c:marker>
            <c:symbol val="circle"/>
            <c:size val="6"/>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'CPT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'CPT vs Market'!$B$4:$B$13</c:f>
              <c:numCache>
                <c:formatCode>0.00%</c:formatCode>
                <c:ptCount val="10"/>
                <c:pt idx="0">
                  <c:v>0.0578417264004393</c:v>
                </c:pt>
                <c:pt idx="1">
                  <c:v>0.0531448612900952</c:v>
                </c:pt>
                <c:pt idx="2">
                  <c:v>0.0576877351694381</c:v>
                </c:pt>
                <c:pt idx="3">
                  <c:v>0.0519813287894296</c:v>
                </c:pt>
                <c:pt idx="4">
                  <c:v>0.0510140233774269</c:v>
                </c:pt>
                <c:pt idx="5">
                  <c:v>0.0333146444365085</c:v>
                </c:pt>
                <c:pt idx="6">
                  <c:v>0.0597418794170177</c:v>
                </c:pt>
                <c:pt idx="7">
                  <c:v>0.0700168261423126</c:v>
                </c:pt>
                <c:pt idx="8">
                  <c:v>0.0620985110115601</c:v>
                </c:pt>
                <c:pt idx="9">
                  <c:v>0.0655962462639059</c:v>
                </c:pt>
              </c:numCache>
            </c:numRef>
          </c:val>
          <c:smooth val="0"/>
        </c:ser>
        <c:ser>
          <c:idx val="2"/>
          <c:order val="2"/>
          <c:tx>
            <c:strRef>
              <c:f>'CPT vs Market'!$E$3</c:f>
              <c:strCache>
                <c:ptCount val="1"/>
                <c:pt idx="0">
                  <c:v>CPT Stabilized Leveraged Equity Yield (%)</c:v>
                </c:pt>
              </c:strCache>
            </c:strRef>
          </c:tx>
          <c:spPr>
            <a:solidFill>
              <a:srgbClr val="3a3a3a"/>
            </a:solidFill>
            <a:ln w="28080">
              <a:solidFill>
                <a:srgbClr val="3a3a3a"/>
              </a:solidFill>
              <a:round/>
            </a:ln>
          </c:spPr>
          <c:marker>
            <c:symbol val="circle"/>
            <c:size val="6"/>
            <c:spPr>
              <a:solidFill>
                <a:srgbClr val="3a3a3a"/>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'CPT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'CPT vs Market'!$E$4:$E$13</c:f>
              <c:numCache>
                <c:formatCode>0.00%</c:formatCode>
                <c:ptCount val="10"/>
                <c:pt idx="0">
                  <c:v>0.0647475069002287</c:v>
                </c:pt>
                <c:pt idx="1">
                  <c:v>0.0566972343693093</c:v>
                </c:pt>
                <c:pt idx="2">
                  <c:v>0.0636941808556974</c:v>
                </c:pt>
                <c:pt idx="3">
                  <c:v>0.0569257979692065</c:v>
                </c:pt>
                <c:pt idx="4">
                  <c:v>0.058341287880521</c:v>
                </c:pt>
                <c:pt idx="5">
                  <c:v>0.0337611705854014</c:v>
                </c:pt>
                <c:pt idx="6">
                  <c:v>0.0687680180461976</c:v>
                </c:pt>
                <c:pt idx="7">
                  <c:v>0.0821245090213159</c:v>
                </c:pt>
                <c:pt idx="8">
                  <c:v>0.0690982459383178</c:v>
                </c:pt>
                <c:pt idx="9">
                  <c:v>0.0758719677579562</c:v>
                </c:pt>
              </c:numCache>
            </c:numRef>
          </c:val>
          <c:smooth val="0"/>
        </c:ser>
        <c:hiLowLines>
          <c:spPr>
            <a:ln w="0">
              <a:noFill/>
            </a:ln>
          </c:spPr>
        </c:hiLowLines>
        <c:marker val="1"/>
        <c:axId val="67043195"/>
        <c:axId val="84090313"/>
      </c:lineChart>
      <c:catAx>
        <c:axId val="10180487"/>
        <c:scaling>
          <c:orientation val="minMax"/>
        </c:scaling>
        <c:delete val="0"/>
        <c:axPos val="b"/>
        <c:numFmt formatCode="General"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46294398"/>
        <c:crosses val="autoZero"/>
        <c:auto val="1"/>
        <c:lblAlgn val="ctr"/>
        <c:lblOffset val="100"/>
        <c:noMultiLvlLbl val="0"/>
      </c:catAx>
      <c:valAx>
        <c:axId val="46294398"/>
        <c:scaling>
          <c:orientation val="minMax"/>
        </c:scaling>
        <c:delete val="0"/>
        <c:axPos val="l"/>
        <c:majorGridlines>
          <c:spPr>
            <a:ln w="0">
              <a:solidFill>
                <a:srgbClr val="b3b3b3"/>
              </a:solidFill>
            </a:ln>
          </c:spPr>
        </c:majorGridlines>
        <c:title>
          <c:tx>
            <c:rich>
              <a:bodyPr rot="-5400000"/>
              <a:lstStyle/>
              <a:p>
                <a:pPr>
                  <a:defRPr b="1" lang="en-US" sz="1000" spc="-1" strike="noStrike">
                    <a:solidFill>
                      <a:srgbClr val="000000"/>
                    </a:solidFill>
                    <a:latin typeface="Calibri"/>
                  </a:defRPr>
                </a:pPr>
                <a:r>
                  <a:rPr b="1" lang="en-US" sz="1000" spc="-1" strike="noStrike">
                    <a:solidFill>
                      <a:srgbClr val="000000"/>
                    </a:solidFill>
                    <a:latin typeface="Calibri"/>
                  </a:rPr>
                  <a:t>Leverage contribution (pct pts)</a:t>
                </a:r>
              </a:p>
            </c:rich>
          </c:tx>
          <c:overlay val="0"/>
          <c:spPr>
            <a:noFill/>
            <a:ln w="0">
              <a:noFill/>
            </a:ln>
          </c:spPr>
        </c:title>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10180487"/>
        <c:crosses val="autoZero"/>
        <c:crossBetween val="between"/>
      </c:valAx>
      <c:catAx>
        <c:axId val="67043195"/>
        <c:scaling>
          <c:orientation val="minMax"/>
        </c:scaling>
        <c:delete val="1"/>
        <c:axPos val="t"/>
        <c:numFmt formatCode="General" sourceLinked="1"/>
        <c:majorTickMark val="none"/>
        <c:minorTickMark val="none"/>
        <c:tickLblPos val="none"/>
        <c:spPr>
          <a:ln w="0">
            <a:solidFill>
              <a:srgbClr val="b3b3b3"/>
            </a:solidFill>
          </a:ln>
        </c:spPr>
        <c:txPr>
          <a:bodyPr/>
          <a:lstStyle/>
          <a:p>
            <a:pPr>
              <a:defRPr b="0" sz="1000" spc="-1" strike="noStrike">
                <a:solidFill>
                  <a:srgbClr val="000000"/>
                </a:solidFill>
                <a:latin typeface="Calibri"/>
              </a:defRPr>
            </a:pPr>
          </a:p>
        </c:txPr>
        <c:crossAx val="84090313"/>
        <c:auto val="1"/>
        <c:lblAlgn val="ctr"/>
        <c:lblOffset val="100"/>
        <c:noMultiLvlLbl val="0"/>
      </c:catAx>
      <c:valAx>
        <c:axId val="84090313"/>
        <c:scaling>
          <c:orientation val="minMax"/>
        </c:scaling>
        <c:delete val="0"/>
        <c:axPos val="r"/>
        <c:title>
          <c:tx>
            <c:rich>
              <a:bodyPr rot="-5400000"/>
              <a:lstStyle/>
              <a:p>
                <a:pPr>
                  <a:defRPr b="1" lang="en-US" sz="1000" spc="-1" strike="noStrike">
                    <a:solidFill>
                      <a:srgbClr val="000000"/>
                    </a:solidFill>
                    <a:latin typeface="Calibri"/>
                  </a:defRPr>
                </a:pPr>
                <a:r>
                  <a:rPr b="1" lang="en-US" sz="1000" spc="-1" strike="noStrike">
                    <a:solidFill>
                      <a:srgbClr val="000000"/>
                    </a:solidFill>
                    <a:latin typeface="Calibri"/>
                  </a:rPr>
                  <a:t>Yield (%)</a:t>
                </a:r>
              </a:p>
            </c:rich>
          </c:tx>
          <c:overlay val="0"/>
          <c:spPr>
            <a:noFill/>
            <a:ln w="0">
              <a:noFill/>
            </a:ln>
          </c:spPr>
        </c:title>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67043195"/>
        <c:crosses val="max"/>
        <c:crossBetween val="between"/>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32.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Annual NOI (labeled YoY growth) and Stabilized TEV: Gross NOI Multiple (2016-2025)</a:t>
            </a:r>
          </a:p>
        </c:rich>
      </c:tx>
      <c:overlay val="0"/>
      <c:spPr>
        <a:noFill/>
        <a:ln w="0">
          <a:noFill/>
        </a:ln>
      </c:spPr>
    </c:title>
    <c:autoTitleDeleted val="0"/>
    <c:plotArea>
      <c:layout>
        <c:manualLayout>
          <c:layoutTarget val="inner"/>
          <c:xMode val="edge"/>
          <c:yMode val="edge"/>
          <c:x val="0.0900420571579958"/>
          <c:y val="0.2002002002002"/>
          <c:w val="0.819485379342319"/>
          <c:h val="0.55955955955956"/>
        </c:manualLayout>
      </c:layout>
      <c:barChart>
        <c:barDir val="col"/>
        <c:grouping val="stacked"/>
        <c:varyColors val="0"/>
        <c:ser>
          <c:idx val="0"/>
          <c:order val="0"/>
          <c:tx>
            <c:strRef>
              <c:f>"Annual NOI ($M)"</c:f>
              <c:strCache>
                <c:ptCount val="1"/>
                <c:pt idx="0">
                  <c:v>Annual NOI ($M)</c:v>
                </c:pt>
              </c:strCache>
            </c:strRef>
          </c:tx>
          <c:spPr>
            <a:solidFill>
              <a:srgbClr val="a31f34"/>
            </a:solidFill>
            <a:ln w="0">
              <a:noFill/>
            </a:ln>
          </c:spPr>
          <c:invertIfNegative val="0"/>
          <c:dPt>
            <c:idx val="1"/>
            <c:invertIfNegative val="0"/>
            <c:spPr>
              <a:solidFill>
                <a:srgbClr val="a31f34"/>
              </a:solidFill>
              <a:ln w="0">
                <a:noFill/>
              </a:ln>
            </c:spPr>
          </c:dPt>
          <c:dPt>
            <c:idx val="2"/>
            <c:invertIfNegative val="0"/>
            <c:spPr>
              <a:solidFill>
                <a:srgbClr val="a31f34"/>
              </a:solidFill>
              <a:ln w="0">
                <a:noFill/>
              </a:ln>
            </c:spPr>
          </c:dPt>
          <c:dPt>
            <c:idx val="3"/>
            <c:invertIfNegative val="0"/>
            <c:spPr>
              <a:solidFill>
                <a:srgbClr val="a31f34"/>
              </a:solidFill>
              <a:ln w="0">
                <a:noFill/>
              </a:ln>
            </c:spPr>
          </c:dPt>
          <c:dPt>
            <c:idx val="4"/>
            <c:invertIfNegative val="0"/>
            <c:spPr>
              <a:solidFill>
                <a:srgbClr val="a31f34"/>
              </a:solidFill>
              <a:ln w="0">
                <a:noFill/>
              </a:ln>
            </c:spPr>
          </c:dPt>
          <c:dPt>
            <c:idx val="5"/>
            <c:invertIfNegative val="0"/>
            <c:spPr>
              <a:solidFill>
                <a:srgbClr val="a31f34"/>
              </a:solidFill>
              <a:ln w="0">
                <a:noFill/>
              </a:ln>
            </c:spPr>
          </c:dPt>
          <c:dPt>
            <c:idx val="6"/>
            <c:invertIfNegative val="0"/>
            <c:spPr>
              <a:solidFill>
                <a:srgbClr val="a31f34"/>
              </a:solidFill>
              <a:ln w="0">
                <a:noFill/>
              </a:ln>
            </c:spPr>
          </c:dPt>
          <c:dPt>
            <c:idx val="7"/>
            <c:invertIfNegative val="0"/>
            <c:spPr>
              <a:solidFill>
                <a:srgbClr val="a31f34"/>
              </a:solidFill>
              <a:ln w="0">
                <a:noFill/>
              </a:ln>
            </c:spPr>
          </c:dPt>
          <c:dPt>
            <c:idx val="8"/>
            <c:invertIfNegative val="0"/>
            <c:spPr>
              <a:solidFill>
                <a:srgbClr val="a31f34"/>
              </a:solidFill>
              <a:ln w="0">
                <a:noFill/>
              </a:ln>
            </c:spPr>
          </c:dPt>
          <c:dPt>
            <c:idx val="9"/>
            <c:invertIfNegative val="0"/>
            <c:spPr>
              <a:solidFill>
                <a:srgbClr val="a31f34"/>
              </a:solidFill>
              <a:ln w="0">
                <a:noFill/>
              </a:ln>
            </c:spPr>
          </c:dPt>
          <c:dLbls>
            <c:dLbl>
              <c:idx val="1"/>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+1%</a:t>
                    </a:r>
                  </a:p>
                </c:rich>
              </c:tx>
              <c:dLblPos val="inEnd"/>
              <c:showLegendKey val="0"/>
              <c:showVal val="0"/>
              <c:showCatName val="0"/>
              <c:showSerName val="0"/>
              <c:showPercent val="0"/>
              <c:separator>; </c:separator>
            </c:dLbl>
            <c:dLbl>
              <c:idx val="2"/>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+7%</a:t>
                    </a:r>
                  </a:p>
                </c:rich>
              </c:tx>
              <c:dLblPos val="inEnd"/>
              <c:showLegendKey val="0"/>
              <c:showVal val="0"/>
              <c:showCatName val="0"/>
              <c:showSerName val="0"/>
              <c:showPercent val="0"/>
              <c:separator>; </c:separator>
            </c:dLbl>
            <c:dLbl>
              <c:idx val="3"/>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+8%</a:t>
                    </a:r>
                  </a:p>
                </c:rich>
              </c:tx>
              <c:dLblPos val="inEnd"/>
              <c:showLegendKey val="0"/>
              <c:showVal val="0"/>
              <c:showCatName val="0"/>
              <c:showSerName val="0"/>
              <c:showPercent val="0"/>
              <c:separator>; </c:separator>
            </c:dLbl>
            <c:dLbl>
              <c:idx val="4"/>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-2%</a:t>
                    </a:r>
                  </a:p>
                </c:rich>
              </c:tx>
              <c:dLblPos val="inEnd"/>
              <c:showLegendKey val="0"/>
              <c:showVal val="0"/>
              <c:showCatName val="0"/>
              <c:showSerName val="0"/>
              <c:showPercent val="0"/>
              <c:separator>; </c:separator>
            </c:dLbl>
            <c:dLbl>
              <c:idx val="5"/>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+12%</a:t>
                    </a:r>
                  </a:p>
                </c:rich>
              </c:tx>
              <c:dLblPos val="inEnd"/>
              <c:showLegendKey val="0"/>
              <c:showVal val="0"/>
              <c:showCatName val="0"/>
              <c:showSerName val="0"/>
              <c:showPercent val="0"/>
              <c:separator>; </c:separator>
            </c:dLbl>
            <c:dLbl>
              <c:idx val="6"/>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+27%</a:t>
                    </a:r>
                  </a:p>
                </c:rich>
              </c:tx>
              <c:dLblPos val="inEnd"/>
              <c:showLegendKey val="0"/>
              <c:showVal val="0"/>
              <c:showCatName val="0"/>
              <c:showSerName val="0"/>
              <c:showPercent val="0"/>
              <c:separator>; </c:separator>
            </c:dLbl>
            <c:dLbl>
              <c:idx val="7"/>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+7%</a:t>
                    </a:r>
                  </a:p>
                </c:rich>
              </c:tx>
              <c:dLblPos val="inEnd"/>
              <c:showLegendKey val="0"/>
              <c:showVal val="0"/>
              <c:showCatName val="0"/>
              <c:showSerName val="0"/>
              <c:showPercent val="0"/>
              <c:separator>; </c:separator>
            </c:dLbl>
            <c:dLbl>
              <c:idx val="8"/>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-1%</a:t>
                    </a:r>
                  </a:p>
                </c:rich>
              </c:tx>
              <c:dLblPos val="inEnd"/>
              <c:showLegendKey val="0"/>
              <c:showVal val="0"/>
              <c:showCatName val="0"/>
              <c:showSerName val="0"/>
              <c:showPercent val="0"/>
              <c:separator>; </c:separator>
            </c:dLbl>
            <c:dLbl>
              <c:idx val="9"/>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+2%</a:t>
                    </a:r>
                  </a:p>
                </c:rich>
              </c:tx>
              <c:dLblPos val="inEnd"/>
              <c:showLegendKey val="0"/>
              <c:showVal val="0"/>
              <c:showCatName val="0"/>
              <c:showSerName val="0"/>
              <c:showPercent val="0"/>
              <c:separator>; </c:separator>
            </c:dLbl>
            <c:txPr>
              <a:bodyPr wrap="square"/>
              <a:lstStyle/>
              <a:p>
                <a:pPr>
                  <a:defRPr b="0" sz="1000" spc="-1" strike="noStrike">
                    <a:solidFill>
                      <a:srgbClr val="000000"/>
                    </a:solidFill>
                    <a:latin typeface="Calibri"/>
                  </a:defRPr>
                </a:pPr>
              </a:p>
            </c:txPr>
            <c:dLblPos val="ct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'CPT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'CPT vs Market'!$L$4:$L$13</c:f>
              <c:numCache>
                <c:formatCode>#,##0</c:formatCode>
                <c:ptCount val="10"/>
                <c:pt idx="0">
                  <c:v>565.092</c:v>
                </c:pt>
                <c:pt idx="1">
                  <c:v>572.154</c:v>
                </c:pt>
                <c:pt idx="2">
                  <c:v>610.926</c:v>
                </c:pt>
                <c:pt idx="3">
                  <c:v>662.114</c:v>
                </c:pt>
                <c:pt idx="4">
                  <c:v>649.011</c:v>
                </c:pt>
                <c:pt idx="5">
                  <c:v>726.56</c:v>
                </c:pt>
                <c:pt idx="6">
                  <c:v>924.675</c:v>
                </c:pt>
                <c:pt idx="7">
                  <c:v>993.107</c:v>
                </c:pt>
                <c:pt idx="8">
                  <c:v>985.037</c:v>
                </c:pt>
                <c:pt idx="9">
                  <c:v>1006.834</c:v>
                </c:pt>
              </c:numCache>
            </c:numRef>
          </c:val>
        </c:ser>
        <c:ser>
          <c:idx val="1"/>
          <c:order val="1"/>
          <c:tx>
            <c:strRef>
              <c:f>"Stabilized TEV less NOI ($M)"</c:f>
              <c:strCache>
                <c:ptCount val="1"/>
                <c:pt idx="0">
                  <c:v>Stabilized TEV less NOI ($M)</c:v>
                </c:pt>
              </c:strCache>
            </c:strRef>
          </c:tx>
          <c:spPr>
            <a:solidFill>
              <a:srgbClr val="d9d9d9"/>
            </a:solidFill>
            <a:ln w="0">
              <a:noFill/>
            </a:ln>
          </c:spPr>
          <c:invertIfNegative val="0"/>
          <c:dLbls>
            <c:txPr>
              <a:bodyPr wrap="square"/>
              <a:lstStyle/>
              <a:p>
                <a:pPr>
                  <a:defRPr b="0" sz="1000" spc="-1" strike="noStrike">
                    <a:solidFill>
                      <a:srgbClr val="000000"/>
                    </a:solidFill>
                    <a:latin typeface="Calibri"/>
                  </a:defRPr>
                </a:pPr>
              </a:p>
            </c:txPr>
            <c:dLblPos val="ct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'CPT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'CPT vs Market'!$Q$4:$Q$13</c:f>
              <c:numCache>
                <c:formatCode>#,##0</c:formatCode>
                <c:ptCount val="10"/>
                <c:pt idx="0">
                  <c:v>9204.53341</c:v>
                </c:pt>
                <c:pt idx="1">
                  <c:v>10193.7787</c:v>
                </c:pt>
                <c:pt idx="2">
                  <c:v>9979.29735</c:v>
                </c:pt>
                <c:pt idx="3">
                  <c:v>12075.4211</c:v>
                </c:pt>
                <c:pt idx="4">
                  <c:v>12073.19668</c:v>
                </c:pt>
                <c:pt idx="5">
                  <c:v>21082.4676</c:v>
                </c:pt>
                <c:pt idx="6">
                  <c:v>14553.1608</c:v>
                </c:pt>
                <c:pt idx="7">
                  <c:v>13190.72644</c:v>
                </c:pt>
                <c:pt idx="8">
                  <c:v>14877.45284</c:v>
                </c:pt>
                <c:pt idx="9">
                  <c:v>14342.12356</c:v>
                </c:pt>
              </c:numCache>
            </c:numRef>
          </c:val>
        </c:ser>
        <c:gapWidth val="150"/>
        <c:overlap val="100"/>
        <c:axId val="24285773"/>
        <c:axId val="1378408"/>
      </c:barChart>
      <c:lineChart>
        <c:grouping val="stacked"/>
        <c:varyColors val="0"/>
        <c:ser>
          <c:idx val="2"/>
          <c:order val="2"/>
          <c:tx>
            <c:strRef>
              <c:f>"Gross NOI Multiple (right)"</c:f>
              <c:strCache>
                <c:ptCount val="1"/>
                <c:pt idx="0">
                  <c:v>Gross NOI Multiple (right)</c:v>
                </c:pt>
              </c:strCache>
            </c:strRef>
          </c:tx>
          <c:spPr>
            <a:solidFill>
              <a:srgbClr val="1f3b57"/>
            </a:solidFill>
            <a:ln w="28440">
              <a:solidFill>
                <a:srgbClr val="1f3b57"/>
              </a:solidFill>
              <a:round/>
            </a:ln>
          </c:spPr>
          <c:marker>
            <c:symbol val="circle"/>
            <c:size val="5"/>
            <c:spPr>
              <a:solidFill>
                <a:srgbClr val="1f3b57"/>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'CPT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'CPT vs Market'!$J$4:$J$13</c:f>
              <c:numCache>
                <c:formatCode>0.0</c:formatCode>
                <c:ptCount val="10"/>
                <c:pt idx="0">
                  <c:v>17.2885572791687</c:v>
                </c:pt>
                <c:pt idx="1">
                  <c:v>18.8164946849974</c:v>
                </c:pt>
                <c:pt idx="2">
                  <c:v>17.3347072313177</c:v>
                </c:pt>
                <c:pt idx="3">
                  <c:v>19.2376767444881</c:v>
                </c:pt>
                <c:pt idx="4">
                  <c:v>19.6024530863113</c:v>
                </c:pt>
                <c:pt idx="5">
                  <c:v>30.016829442854</c:v>
                </c:pt>
                <c:pt idx="6">
                  <c:v>16.7386766161084</c:v>
                </c:pt>
                <c:pt idx="7">
                  <c:v>14.2822812043415</c:v>
                </c:pt>
                <c:pt idx="8">
                  <c:v>16.1034456979789</c:v>
                </c:pt>
                <c:pt idx="9">
                  <c:v>15.2447747692271</c:v>
                </c:pt>
              </c:numCache>
            </c:numRef>
          </c:val>
          <c:smooth val="0"/>
        </c:ser>
        <c:hiLowLines>
          <c:spPr>
            <a:ln w="0">
              <a:noFill/>
            </a:ln>
          </c:spPr>
        </c:hiLowLines>
        <c:marker val="1"/>
        <c:axId val="91844001"/>
        <c:axId val="66571591"/>
      </c:lineChart>
      <c:catAx>
        <c:axId val="24285773"/>
        <c:scaling>
          <c:orientation val="minMax"/>
        </c:scaling>
        <c:delete val="0"/>
        <c:axPos val="b"/>
        <c:numFmt formatCode="General"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1378408"/>
        <c:crosses val="autoZero"/>
        <c:auto val="1"/>
        <c:lblAlgn val="ctr"/>
        <c:lblOffset val="100"/>
        <c:noMultiLvlLbl val="0"/>
      </c:catAx>
      <c:valAx>
        <c:axId val="1378408"/>
        <c:scaling>
          <c:orientation val="minMax"/>
          <c:min val="0"/>
        </c:scaling>
        <c:delete val="0"/>
        <c:axPos val="l"/>
        <c:majorGridlines>
          <c:spPr>
            <a:ln w="0">
              <a:solidFill>
                <a:srgbClr val="b3b3b3"/>
              </a:solidFill>
            </a:ln>
          </c:spPr>
        </c:majorGridlines>
        <c:numFmt formatCode="#,##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24285773"/>
        <c:crosses val="autoZero"/>
        <c:crossBetween val="between"/>
      </c:valAx>
      <c:catAx>
        <c:axId val="91844001"/>
        <c:scaling>
          <c:orientation val="minMax"/>
        </c:scaling>
        <c:delete val="1"/>
        <c:axPos val="t"/>
        <c:numFmt formatCode="General" sourceLinked="1"/>
        <c:majorTickMark val="none"/>
        <c:minorTickMark val="none"/>
        <c:tickLblPos val="none"/>
        <c:spPr>
          <a:ln w="0">
            <a:solidFill>
              <a:srgbClr val="b3b3b3"/>
            </a:solidFill>
          </a:ln>
        </c:spPr>
        <c:txPr>
          <a:bodyPr/>
          <a:lstStyle/>
          <a:p>
            <a:pPr>
              <a:defRPr b="0" sz="1000" spc="-1" strike="noStrike">
                <a:solidFill>
                  <a:srgbClr val="000000"/>
                </a:solidFill>
                <a:latin typeface="Calibri"/>
              </a:defRPr>
            </a:pPr>
          </a:p>
        </c:txPr>
        <c:crossAx val="66571591"/>
        <c:auto val="1"/>
        <c:lblAlgn val="ctr"/>
        <c:lblOffset val="100"/>
        <c:noMultiLvlLbl val="0"/>
      </c:catAx>
      <c:valAx>
        <c:axId val="66571591"/>
        <c:scaling>
          <c:orientation val="minMax"/>
        </c:scaling>
        <c:delete val="0"/>
        <c:axPos val="r"/>
        <c:numFmt formatCode="0.0\x"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91844001"/>
        <c:crosses val="max"/>
        <c:crossBetween val="between"/>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33.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Leveraged Cash Flow (labeled YoY growth) and Stabilized Market Cap: Leveraged NOI Multiple (2016-2025)</a:t>
            </a:r>
          </a:p>
        </c:rich>
      </c:tx>
      <c:overlay val="0"/>
      <c:spPr>
        <a:noFill/>
        <a:ln w="0">
          <a:noFill/>
        </a:ln>
      </c:spPr>
    </c:title>
    <c:autoTitleDeleted val="0"/>
    <c:plotArea>
      <c:layout>
        <c:manualLayout>
          <c:layoutTarget val="inner"/>
          <c:xMode val="edge"/>
          <c:yMode val="edge"/>
          <c:x val="0.0900420571579958"/>
          <c:y val="0.2002002002002"/>
          <c:w val="0.819485379342319"/>
          <c:h val="0.55955955955956"/>
        </c:manualLayout>
      </c:layout>
      <c:barChart>
        <c:barDir val="col"/>
        <c:grouping val="stacked"/>
        <c:varyColors val="0"/>
        <c:ser>
          <c:idx val="0"/>
          <c:order val="0"/>
          <c:tx>
            <c:strRef>
              <c:f>"Leveraged Property Cash Flow ($M)"</c:f>
              <c:strCache>
                <c:ptCount val="1"/>
                <c:pt idx="0">
                  <c:v>Leveraged Property Cash Flow ($M)</c:v>
                </c:pt>
              </c:strCache>
            </c:strRef>
          </c:tx>
          <c:spPr>
            <a:solidFill>
              <a:srgbClr val="a31f34"/>
            </a:solidFill>
            <a:ln w="0">
              <a:noFill/>
            </a:ln>
          </c:spPr>
          <c:invertIfNegative val="0"/>
          <c:dPt>
            <c:idx val="1"/>
            <c:invertIfNegative val="0"/>
            <c:spPr>
              <a:solidFill>
                <a:srgbClr val="a31f34"/>
              </a:solidFill>
              <a:ln w="0">
                <a:noFill/>
              </a:ln>
            </c:spPr>
          </c:dPt>
          <c:dPt>
            <c:idx val="2"/>
            <c:invertIfNegative val="0"/>
            <c:spPr>
              <a:solidFill>
                <a:srgbClr val="a31f34"/>
              </a:solidFill>
              <a:ln w="0">
                <a:noFill/>
              </a:ln>
            </c:spPr>
          </c:dPt>
          <c:dPt>
            <c:idx val="3"/>
            <c:invertIfNegative val="0"/>
            <c:spPr>
              <a:solidFill>
                <a:srgbClr val="a31f34"/>
              </a:solidFill>
              <a:ln w="0">
                <a:noFill/>
              </a:ln>
            </c:spPr>
          </c:dPt>
          <c:dPt>
            <c:idx val="4"/>
            <c:invertIfNegative val="0"/>
            <c:spPr>
              <a:solidFill>
                <a:srgbClr val="a31f34"/>
              </a:solidFill>
              <a:ln w="0">
                <a:noFill/>
              </a:ln>
            </c:spPr>
          </c:dPt>
          <c:dPt>
            <c:idx val="5"/>
            <c:invertIfNegative val="0"/>
            <c:spPr>
              <a:solidFill>
                <a:srgbClr val="a31f34"/>
              </a:solidFill>
              <a:ln w="0">
                <a:noFill/>
              </a:ln>
            </c:spPr>
          </c:dPt>
          <c:dPt>
            <c:idx val="6"/>
            <c:invertIfNegative val="0"/>
            <c:spPr>
              <a:solidFill>
                <a:srgbClr val="a31f34"/>
              </a:solidFill>
              <a:ln w="0">
                <a:noFill/>
              </a:ln>
            </c:spPr>
          </c:dPt>
          <c:dPt>
            <c:idx val="7"/>
            <c:invertIfNegative val="0"/>
            <c:spPr>
              <a:solidFill>
                <a:srgbClr val="a31f34"/>
              </a:solidFill>
              <a:ln w="0">
                <a:noFill/>
              </a:ln>
            </c:spPr>
          </c:dPt>
          <c:dPt>
            <c:idx val="8"/>
            <c:invertIfNegative val="0"/>
            <c:spPr>
              <a:solidFill>
                <a:srgbClr val="a31f34"/>
              </a:solidFill>
              <a:ln w="0">
                <a:noFill/>
              </a:ln>
            </c:spPr>
          </c:dPt>
          <c:dPt>
            <c:idx val="9"/>
            <c:invertIfNegative val="0"/>
            <c:spPr>
              <a:solidFill>
                <a:srgbClr val="a31f34"/>
              </a:solidFill>
              <a:ln w="0">
                <a:noFill/>
              </a:ln>
            </c:spPr>
          </c:dPt>
          <c:dLbls>
            <c:dLbl>
              <c:idx val="1"/>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+3%</a:t>
                    </a:r>
                  </a:p>
                </c:rich>
              </c:tx>
              <c:dLblPos val="inEnd"/>
              <c:showLegendKey val="0"/>
              <c:showVal val="0"/>
              <c:showCatName val="0"/>
              <c:showSerName val="0"/>
              <c:showPercent val="0"/>
              <c:separator>; </c:separator>
            </c:dLbl>
            <c:dLbl>
              <c:idx val="2"/>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+8%</a:t>
                    </a:r>
                  </a:p>
                </c:rich>
              </c:tx>
              <c:dLblPos val="inEnd"/>
              <c:showLegendKey val="0"/>
              <c:showVal val="0"/>
              <c:showCatName val="0"/>
              <c:showSerName val="0"/>
              <c:showPercent val="0"/>
              <c:separator>; </c:separator>
            </c:dLbl>
            <c:dLbl>
              <c:idx val="3"/>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+10%</a:t>
                    </a:r>
                  </a:p>
                </c:rich>
              </c:tx>
              <c:dLblPos val="inEnd"/>
              <c:showLegendKey val="0"/>
              <c:showVal val="0"/>
              <c:showCatName val="0"/>
              <c:showSerName val="0"/>
              <c:showPercent val="0"/>
              <c:separator>; </c:separator>
            </c:dLbl>
            <c:dLbl>
              <c:idx val="4"/>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-4%</a:t>
                    </a:r>
                  </a:p>
                </c:rich>
              </c:tx>
              <c:dLblPos val="inEnd"/>
              <c:showLegendKey val="0"/>
              <c:showVal val="0"/>
              <c:showCatName val="0"/>
              <c:showSerName val="0"/>
              <c:showPercent val="0"/>
              <c:separator>; </c:separator>
            </c:dLbl>
            <c:dLbl>
              <c:idx val="5"/>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+13%</a:t>
                    </a:r>
                  </a:p>
                </c:rich>
              </c:tx>
              <c:dLblPos val="inEnd"/>
              <c:showLegendKey val="0"/>
              <c:showVal val="0"/>
              <c:showCatName val="0"/>
              <c:showSerName val="0"/>
              <c:showPercent val="0"/>
              <c:separator>; </c:separator>
            </c:dLbl>
            <c:dLbl>
              <c:idx val="6"/>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+29%</a:t>
                    </a:r>
                  </a:p>
                </c:rich>
              </c:tx>
              <c:dLblPos val="inEnd"/>
              <c:showLegendKey val="0"/>
              <c:showVal val="0"/>
              <c:showCatName val="0"/>
              <c:showSerName val="0"/>
              <c:showPercent val="0"/>
              <c:separator>; </c:separator>
            </c:dLbl>
            <c:dLbl>
              <c:idx val="7"/>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+6%</a:t>
                    </a:r>
                  </a:p>
                </c:rich>
              </c:tx>
              <c:dLblPos val="inEnd"/>
              <c:showLegendKey val="0"/>
              <c:showVal val="0"/>
              <c:showCatName val="0"/>
              <c:showSerName val="0"/>
              <c:showPercent val="0"/>
              <c:separator>; </c:separator>
            </c:dLbl>
            <c:dLbl>
              <c:idx val="8"/>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-1%</a:t>
                    </a:r>
                  </a:p>
                </c:rich>
              </c:tx>
              <c:dLblPos val="inEnd"/>
              <c:showLegendKey val="0"/>
              <c:showVal val="0"/>
              <c:showCatName val="0"/>
              <c:showSerName val="0"/>
              <c:showPercent val="0"/>
              <c:separator>; </c:separator>
            </c:dLbl>
            <c:dLbl>
              <c:idx val="9"/>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+2%</a:t>
                    </a:r>
                  </a:p>
                </c:rich>
              </c:tx>
              <c:dLblPos val="inEnd"/>
              <c:showLegendKey val="0"/>
              <c:showVal val="0"/>
              <c:showCatName val="0"/>
              <c:showSerName val="0"/>
              <c:showPercent val="0"/>
              <c:separator>; </c:separator>
            </c:dLbl>
            <c:txPr>
              <a:bodyPr wrap="square"/>
              <a:lstStyle/>
              <a:p>
                <a:pPr>
                  <a:defRPr b="0" sz="1000" spc="-1" strike="noStrike">
                    <a:solidFill>
                      <a:srgbClr val="000000"/>
                    </a:solidFill>
                    <a:latin typeface="Calibri"/>
                  </a:defRPr>
                </a:pPr>
              </a:p>
            </c:txPr>
            <c:dLblPos val="ct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'CPT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'CPT vs Market'!$N$4:$N$13</c:f>
              <c:numCache>
                <c:formatCode>#,##0</c:formatCode>
                <c:ptCount val="10"/>
                <c:pt idx="0">
                  <c:v>471.947</c:v>
                </c:pt>
                <c:pt idx="1">
                  <c:v>485.404</c:v>
                </c:pt>
                <c:pt idx="2">
                  <c:v>526.663</c:v>
                </c:pt>
                <c:pt idx="3">
                  <c:v>581.408</c:v>
                </c:pt>
                <c:pt idx="4">
                  <c:v>557.485</c:v>
                </c:pt>
                <c:pt idx="5">
                  <c:v>629.263</c:v>
                </c:pt>
                <c:pt idx="6">
                  <c:v>811.251</c:v>
                </c:pt>
                <c:pt idx="7">
                  <c:v>859.712</c:v>
                </c:pt>
                <c:pt idx="8">
                  <c:v>855.222</c:v>
                </c:pt>
                <c:pt idx="9">
                  <c:v>868.595</c:v>
                </c:pt>
              </c:numCache>
            </c:numRef>
          </c:val>
        </c:ser>
        <c:ser>
          <c:idx val="1"/>
          <c:order val="1"/>
          <c:tx>
            <c:strRef>
              <c:f>"Stabilized Market Cap less Leveraged CF ($M)"</c:f>
              <c:strCache>
                <c:ptCount val="1"/>
                <c:pt idx="0">
                  <c:v>Stabilized Market Cap less Leveraged CF ($M)</c:v>
                </c:pt>
              </c:strCache>
            </c:strRef>
          </c:tx>
          <c:spPr>
            <a:solidFill>
              <a:srgbClr val="d9d9d9"/>
            </a:solidFill>
            <a:ln w="0">
              <a:noFill/>
            </a:ln>
          </c:spPr>
          <c:invertIfNegative val="0"/>
          <c:dLbls>
            <c:txPr>
              <a:bodyPr wrap="square"/>
              <a:lstStyle/>
              <a:p>
                <a:pPr>
                  <a:defRPr b="0" sz="1000" spc="-1" strike="noStrike">
                    <a:solidFill>
                      <a:srgbClr val="000000"/>
                    </a:solidFill>
                    <a:latin typeface="Calibri"/>
                  </a:defRPr>
                </a:pPr>
              </a:p>
            </c:txPr>
            <c:dLblPos val="ct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'CPT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'CPT vs Market'!$R$4:$R$13</c:f>
              <c:numCache>
                <c:formatCode>#,##0</c:formatCode>
                <c:ptCount val="10"/>
                <c:pt idx="0">
                  <c:v>6817.09041</c:v>
                </c:pt>
                <c:pt idx="1">
                  <c:v>8075.9307</c:v>
                </c:pt>
                <c:pt idx="2">
                  <c:v>7741.95735</c:v>
                </c:pt>
                <c:pt idx="3">
                  <c:v>9632.0281</c:v>
                </c:pt>
                <c:pt idx="4">
                  <c:v>8998.09768</c:v>
                </c:pt>
                <c:pt idx="5">
                  <c:v>18009.3976</c:v>
                </c:pt>
                <c:pt idx="6">
                  <c:v>10985.6718</c:v>
                </c:pt>
                <c:pt idx="7">
                  <c:v>9608.68544</c:v>
                </c:pt>
                <c:pt idx="8">
                  <c:v>11521.67684</c:v>
                </c:pt>
                <c:pt idx="9">
                  <c:v>10579.57256</c:v>
                </c:pt>
              </c:numCache>
            </c:numRef>
          </c:val>
        </c:ser>
        <c:gapWidth val="150"/>
        <c:overlap val="100"/>
        <c:axId val="52402758"/>
        <c:axId val="35471669"/>
      </c:barChart>
      <c:lineChart>
        <c:grouping val="stacked"/>
        <c:varyColors val="0"/>
        <c:ser>
          <c:idx val="2"/>
          <c:order val="2"/>
          <c:tx>
            <c:strRef>
              <c:f>"Leveraged NOI Multiple (right)"</c:f>
              <c:strCache>
                <c:ptCount val="1"/>
                <c:pt idx="0">
                  <c:v>Leveraged NOI Multiple (right)</c:v>
                </c:pt>
              </c:strCache>
            </c:strRef>
          </c:tx>
          <c:spPr>
            <a:solidFill>
              <a:srgbClr val="1f3b57"/>
            </a:solidFill>
            <a:ln w="28440">
              <a:solidFill>
                <a:srgbClr val="1f3b57"/>
              </a:solidFill>
              <a:round/>
            </a:ln>
          </c:spPr>
          <c:marker>
            <c:symbol val="circle"/>
            <c:size val="5"/>
            <c:spPr>
              <a:solidFill>
                <a:srgbClr val="1f3b57"/>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'CPT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'CPT vs Market'!$K$4:$K$13</c:f>
              <c:numCache>
                <c:formatCode>0.0</c:formatCode>
                <c:ptCount val="10"/>
                <c:pt idx="0">
                  <c:v>15.4446101151189</c:v>
                </c:pt>
                <c:pt idx="1">
                  <c:v>17.6375446020222</c:v>
                </c:pt>
                <c:pt idx="2">
                  <c:v>15.7000213609082</c:v>
                </c:pt>
                <c:pt idx="3">
                  <c:v>17.5667278400022</c:v>
                </c:pt>
                <c:pt idx="4">
                  <c:v>17.140519798739</c:v>
                </c:pt>
                <c:pt idx="5">
                  <c:v>29.6198260504749</c:v>
                </c:pt>
                <c:pt idx="6">
                  <c:v>14.5416434617646</c:v>
                </c:pt>
                <c:pt idx="7">
                  <c:v>12.176632918931</c:v>
                </c:pt>
                <c:pt idx="8">
                  <c:v>14.472147395647</c:v>
                </c:pt>
                <c:pt idx="9">
                  <c:v>13.1800983887773</c:v>
                </c:pt>
              </c:numCache>
            </c:numRef>
          </c:val>
          <c:smooth val="0"/>
        </c:ser>
        <c:hiLowLines>
          <c:spPr>
            <a:ln w="0">
              <a:noFill/>
            </a:ln>
          </c:spPr>
        </c:hiLowLines>
        <c:marker val="1"/>
        <c:axId val="38070987"/>
        <c:axId val="11607915"/>
      </c:lineChart>
      <c:catAx>
        <c:axId val="52402758"/>
        <c:scaling>
          <c:orientation val="minMax"/>
        </c:scaling>
        <c:delete val="0"/>
        <c:axPos val="b"/>
        <c:numFmt formatCode="General"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35471669"/>
        <c:crosses val="autoZero"/>
        <c:auto val="1"/>
        <c:lblAlgn val="ctr"/>
        <c:lblOffset val="100"/>
        <c:noMultiLvlLbl val="0"/>
      </c:catAx>
      <c:valAx>
        <c:axId val="35471669"/>
        <c:scaling>
          <c:orientation val="minMax"/>
          <c:min val="0"/>
        </c:scaling>
        <c:delete val="0"/>
        <c:axPos val="l"/>
        <c:majorGridlines>
          <c:spPr>
            <a:ln w="0">
              <a:solidFill>
                <a:srgbClr val="b3b3b3"/>
              </a:solidFill>
            </a:ln>
          </c:spPr>
        </c:majorGridlines>
        <c:numFmt formatCode="#,##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52402758"/>
        <c:crosses val="autoZero"/>
        <c:crossBetween val="between"/>
      </c:valAx>
      <c:catAx>
        <c:axId val="38070987"/>
        <c:scaling>
          <c:orientation val="minMax"/>
        </c:scaling>
        <c:delete val="1"/>
        <c:axPos val="t"/>
        <c:numFmt formatCode="General" sourceLinked="1"/>
        <c:majorTickMark val="none"/>
        <c:minorTickMark val="none"/>
        <c:tickLblPos val="none"/>
        <c:spPr>
          <a:ln w="0">
            <a:solidFill>
              <a:srgbClr val="b3b3b3"/>
            </a:solidFill>
          </a:ln>
        </c:spPr>
        <c:txPr>
          <a:bodyPr/>
          <a:lstStyle/>
          <a:p>
            <a:pPr>
              <a:defRPr b="0" sz="1000" spc="-1" strike="noStrike">
                <a:solidFill>
                  <a:srgbClr val="000000"/>
                </a:solidFill>
                <a:latin typeface="Calibri"/>
              </a:defRPr>
            </a:pPr>
          </a:p>
        </c:txPr>
        <c:crossAx val="11607915"/>
        <c:auto val="1"/>
        <c:lblAlgn val="ctr"/>
        <c:lblOffset val="100"/>
        <c:noMultiLvlLbl val="0"/>
      </c:catAx>
      <c:valAx>
        <c:axId val="11607915"/>
        <c:scaling>
          <c:orientation val="minMax"/>
        </c:scaling>
        <c:delete val="0"/>
        <c:axPos val="r"/>
        <c:numFmt formatCode="0.0\x"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38070987"/>
        <c:crosses val="max"/>
        <c:crossBetween val="between"/>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34.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CPT Implied Cap Rate vs. Private Apartment Cap Rates (2016-2025)</a:t>
            </a:r>
          </a:p>
        </c:rich>
      </c:tx>
      <c:overlay val="0"/>
      <c:spPr>
        <a:noFill/>
        <a:ln w="0">
          <a:noFill/>
        </a:ln>
      </c:spPr>
    </c:title>
    <c:autoTitleDeleted val="0"/>
    <c:plotArea>
      <c:layout>
        <c:manualLayout>
          <c:layoutTarget val="inner"/>
          <c:xMode val="edge"/>
          <c:yMode val="edge"/>
          <c:x val="0.100043050634169"/>
          <c:y val="0.16016016016016"/>
          <c:w val="0.799450276517535"/>
          <c:h val="0.61961961961962"/>
        </c:manualLayout>
      </c:layout>
      <c:scatterChart>
        <c:scatterStyle val="lineMarker"/>
        <c:varyColors val="0"/>
        <c:ser>
          <c:idx val="0"/>
          <c:order val="0"/>
          <c:tx>
            <c:strRef>
              <c:f>"CPT Implied Cap Rate (public pricing, year-end)"</c:f>
              <c:strCache>
                <c:ptCount val="1"/>
                <c:pt idx="0">
                  <c:v>CPT Implied Cap Rate (public pricing, year-end)</c:v>
                </c:pt>
              </c:strCache>
            </c:strRef>
          </c:tx>
          <c:spPr>
            <a:solidFill>
              <a:srgbClr val="a31f34"/>
            </a:solidFill>
            <a:ln w="28440">
              <a:solidFill>
                <a:srgbClr val="a31f34"/>
              </a:solidFill>
              <a:round/>
            </a:ln>
          </c:spPr>
          <c:marker>
            <c:symbol val="circle"/>
            <c:size val="5"/>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'CPT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'CPT vs Market'!$B$4:$B$13</c:f>
              <c:numCache>
                <c:formatCode>0.00%</c:formatCode>
                <c:ptCount val="10"/>
                <c:pt idx="0">
                  <c:v>0.0578417264004393</c:v>
                </c:pt>
                <c:pt idx="1">
                  <c:v>0.0531448612900952</c:v>
                </c:pt>
                <c:pt idx="2">
                  <c:v>0.0576877351694381</c:v>
                </c:pt>
                <c:pt idx="3">
                  <c:v>0.0519813287894296</c:v>
                </c:pt>
                <c:pt idx="4">
                  <c:v>0.0510140233774269</c:v>
                </c:pt>
                <c:pt idx="5">
                  <c:v>0.0333146444365085</c:v>
                </c:pt>
                <c:pt idx="6">
                  <c:v>0.0597418794170177</c:v>
                </c:pt>
                <c:pt idx="7">
                  <c:v>0.0700168261423126</c:v>
                </c:pt>
                <c:pt idx="8">
                  <c:v>0.0620985110115601</c:v>
                </c:pt>
                <c:pt idx="9">
                  <c:v>0.0655962462639059</c:v>
                </c:pt>
              </c:numCache>
            </c:numRef>
          </c:yVal>
          <c:smooth val="0"/>
        </c:ser>
        <c:ser>
          <c:idx val="1"/>
          <c:order val="1"/>
          <c:tx>
            <c:strRef>
              <c:f>"Green Street Nominal Cap Rate, 51-Market Wtd Avg (4Q)"</c:f>
              <c:strCache>
                <c:ptCount val="1"/>
                <c:pt idx="0">
                  <c:v>Green Street Nominal Cap Rate, 51-Market Wtd Avg (4Q)</c:v>
                </c:pt>
              </c:strCache>
            </c:strRef>
          </c:tx>
          <c:spPr>
            <a:solidFill>
              <a:srgbClr val="1f3b57"/>
            </a:solidFill>
            <a:ln w="28440">
              <a:solidFill>
                <a:srgbClr val="1f3b57"/>
              </a:solidFill>
              <a:round/>
            </a:ln>
          </c:spPr>
          <c:marker>
            <c:symbol val="square"/>
            <c:size val="5"/>
            <c:spPr>
              <a:solidFill>
                <a:srgbClr val="1f3b57"/>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'CPT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'CPT vs Market'!$T$4:$T$13</c:f>
              <c:numCache>
                <c:formatCode>0.00%</c:formatCode>
                <c:ptCount val="10"/>
                <c:pt idx="0">
                  <c:v>0.04852258</c:v>
                </c:pt>
                <c:pt idx="1">
                  <c:v>0.0501092</c:v>
                </c:pt>
                <c:pt idx="2">
                  <c:v>0.04923149</c:v>
                </c:pt>
                <c:pt idx="3">
                  <c:v>0.0475775</c:v>
                </c:pt>
                <c:pt idx="4">
                  <c:v>0.04376953</c:v>
                </c:pt>
                <c:pt idx="5">
                  <c:v>0.03788439</c:v>
                </c:pt>
                <c:pt idx="6">
                  <c:v>0.05048362</c:v>
                </c:pt>
                <c:pt idx="7">
                  <c:v>0.05662173</c:v>
                </c:pt>
                <c:pt idx="8">
                  <c:v>0.05208783</c:v>
                </c:pt>
                <c:pt idx="9">
                  <c:v>0.05229724</c:v>
                </c:pt>
              </c:numCache>
            </c:numRef>
          </c:yVal>
          <c:smooth val="0"/>
        </c:ser>
        <c:ser>
          <c:idx val="2"/>
          <c:order val="2"/>
          <c:tx>
            <c:strRef>
              <c:f>"10-Yr UST Yield"</c:f>
              <c:strCache>
                <c:ptCount val="1"/>
                <c:pt idx="0">
                  <c:v>10-Yr UST Yield</c:v>
                </c:pt>
              </c:strCache>
            </c:strRef>
          </c:tx>
          <c:spPr>
            <a:solidFill>
              <a:srgbClr val="8a8a8a"/>
            </a:solidFill>
            <a:ln w="28440">
              <a:solidFill>
                <a:srgbClr val="8a8a8a"/>
              </a:solidFill>
              <a:prstDash val="sysDot"/>
              <a:round/>
            </a:ln>
          </c:spPr>
          <c:marker>
            <c:symbol val="dash"/>
            <c:size val="4"/>
            <c:spPr>
              <a:solidFill>
                <a:srgbClr val="8a8a8a"/>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'CPT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'CPT vs Market'!$C$4:$C$13</c:f>
              <c:numCache>
                <c:formatCode>0.00%</c:formatCode>
                <c:ptCount val="10"/>
                <c:pt idx="0">
                  <c:v>0.0245</c:v>
                </c:pt>
                <c:pt idx="1">
                  <c:v>0.024</c:v>
                </c:pt>
                <c:pt idx="2">
                  <c:v>0.0269</c:v>
                </c:pt>
                <c:pt idx="3">
                  <c:v>0.0192</c:v>
                </c:pt>
                <c:pt idx="4">
                  <c:v>0.0093</c:v>
                </c:pt>
                <c:pt idx="5">
                  <c:v>0.0152</c:v>
                </c:pt>
                <c:pt idx="6">
                  <c:v>0.0388</c:v>
                </c:pt>
                <c:pt idx="7">
                  <c:v>0.0388</c:v>
                </c:pt>
                <c:pt idx="8">
                  <c:v>0.0458</c:v>
                </c:pt>
                <c:pt idx="9">
                  <c:v>0.0418</c:v>
                </c:pt>
              </c:numCache>
            </c:numRef>
          </c:yVal>
          <c:smooth val="0"/>
        </c:ser>
        <c:axId val="34182030"/>
        <c:axId val="16744450"/>
      </c:scatterChart>
      <c:valAx>
        <c:axId val="34182030"/>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16744450"/>
        <c:crosses val="autoZero"/>
        <c:crossBetween val="midCat"/>
        <c:majorUnit val="1"/>
      </c:valAx>
      <c:valAx>
        <c:axId val="16744450"/>
        <c:scaling>
          <c:orientation val="minMax"/>
        </c:scaling>
        <c:delete val="0"/>
        <c:axPos val="l"/>
        <c:majorGridlines>
          <c:spPr>
            <a:ln w="0">
              <a:solidFill>
                <a:srgbClr val="b3b3b3"/>
              </a:solidFill>
            </a:ln>
          </c:spPr>
        </c:majorGridlines>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34182030"/>
        <c:crosses val="autoZero"/>
        <c:crossBetween val="midCat"/>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35.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Apartment Values vs. Construction Costs vs. CPI, Indexed to 2016 (2016-2025)</a:t>
            </a:r>
          </a:p>
        </c:rich>
      </c:tx>
      <c:overlay val="0"/>
      <c:spPr>
        <a:noFill/>
        <a:ln w="0">
          <a:noFill/>
        </a:ln>
      </c:spPr>
    </c:title>
    <c:autoTitleDeleted val="0"/>
    <c:plotArea>
      <c:layout>
        <c:manualLayout>
          <c:layoutTarget val="inner"/>
          <c:xMode val="edge"/>
          <c:yMode val="edge"/>
          <c:x val="0.100043050634169"/>
          <c:y val="0.16016016016016"/>
          <c:w val="0.799450276517535"/>
          <c:h val="0.61961961961962"/>
        </c:manualLayout>
      </c:layout>
      <c:scatterChart>
        <c:scatterStyle val="lineMarker"/>
        <c:varyColors val="0"/>
        <c:ser>
          <c:idx val="0"/>
          <c:order val="0"/>
          <c:tx>
            <c:strRef>
              <c:f>"Apartment Property Values (Green Street CPPI)"</c:f>
              <c:strCache>
                <c:ptCount val="1"/>
                <c:pt idx="0">
                  <c:v>Apartment Property Values (Green Street CPPI)</c:v>
                </c:pt>
              </c:strCache>
            </c:strRef>
          </c:tx>
          <c:spPr>
            <a:solidFill>
              <a:srgbClr val="a31f34"/>
            </a:solidFill>
            <a:ln w="28440">
              <a:solidFill>
                <a:srgbClr val="a31f34"/>
              </a:solidFill>
              <a:round/>
            </a:ln>
          </c:spPr>
          <c:marker>
            <c:symbol val="circle"/>
            <c:size val="5"/>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'CPT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'CPT vs Market'!$U$4:$U$13</c:f>
              <c:numCache>
                <c:formatCode>0.0</c:formatCode>
                <c:ptCount val="10"/>
                <c:pt idx="0">
                  <c:v>100</c:v>
                </c:pt>
                <c:pt idx="1">
                  <c:v>99.9419598056238</c:v>
                </c:pt>
                <c:pt idx="2">
                  <c:v>105.350134707176</c:v>
                </c:pt>
                <c:pt idx="3">
                  <c:v>111.012161577111</c:v>
                </c:pt>
                <c:pt idx="4">
                  <c:v>112.840426236934</c:v>
                </c:pt>
                <c:pt idx="5">
                  <c:v>148.305287254741</c:v>
                </c:pt>
                <c:pt idx="6">
                  <c:v>112.259083245291</c:v>
                </c:pt>
                <c:pt idx="7">
                  <c:v>100.508627067155</c:v>
                </c:pt>
                <c:pt idx="8">
                  <c:v>109.137003547425</c:v>
                </c:pt>
                <c:pt idx="9">
                  <c:v>109.052228192995</c:v>
                </c:pt>
              </c:numCache>
            </c:numRef>
          </c:yVal>
          <c:smooth val="0"/>
        </c:ser>
        <c:ser>
          <c:idx val="1"/>
          <c:order val="1"/>
          <c:tx>
            <c:strRef>
              <c:f>"Non-Residential Construction Costs (PPI)"</c:f>
              <c:strCache>
                <c:ptCount val="1"/>
                <c:pt idx="0">
                  <c:v>Non-Residential Construction Costs (PPI)</c:v>
                </c:pt>
              </c:strCache>
            </c:strRef>
          </c:tx>
          <c:spPr>
            <a:solidFill>
              <a:srgbClr val="1f3b57"/>
            </a:solidFill>
            <a:ln w="28440">
              <a:solidFill>
                <a:srgbClr val="1f3b57"/>
              </a:solidFill>
              <a:round/>
            </a:ln>
          </c:spPr>
          <c:marker>
            <c:symbol val="square"/>
            <c:size val="5"/>
            <c:spPr>
              <a:solidFill>
                <a:srgbClr val="1f3b57"/>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'CPT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'CPT vs Market'!$V$4:$V$13</c:f>
              <c:numCache>
                <c:formatCode>0.0</c:formatCode>
                <c:ptCount val="10"/>
                <c:pt idx="0">
                  <c:v>100</c:v>
                </c:pt>
                <c:pt idx="1">
                  <c:v>102.196167016261</c:v>
                </c:pt>
                <c:pt idx="2">
                  <c:v>106.491690421126</c:v>
                </c:pt>
                <c:pt idx="3">
                  <c:v>111.952526936661</c:v>
                </c:pt>
                <c:pt idx="4">
                  <c:v>114.716111798347</c:v>
                </c:pt>
                <c:pt idx="5">
                  <c:v>120.671758188566</c:v>
                </c:pt>
                <c:pt idx="6">
                  <c:v>144.713064056365</c:v>
                </c:pt>
                <c:pt idx="7">
                  <c:v>156.117893831012</c:v>
                </c:pt>
                <c:pt idx="8">
                  <c:v>156.281037666505</c:v>
                </c:pt>
                <c:pt idx="9">
                  <c:v>158.821420247763</c:v>
                </c:pt>
              </c:numCache>
            </c:numRef>
          </c:yVal>
          <c:smooth val="0"/>
        </c:ser>
        <c:ser>
          <c:idx val="2"/>
          <c:order val="2"/>
          <c:tx>
            <c:strRef>
              <c:f>"CPI (All Urban Consumers)"</c:f>
              <c:strCache>
                <c:ptCount val="1"/>
                <c:pt idx="0">
                  <c:v>CPI (All Urban Consumers)</c:v>
                </c:pt>
              </c:strCache>
            </c:strRef>
          </c:tx>
          <c:spPr>
            <a:solidFill>
              <a:srgbClr val="8a8a8a"/>
            </a:solidFill>
            <a:ln w="28440">
              <a:solidFill>
                <a:srgbClr val="8a8a8a"/>
              </a:solidFill>
              <a:prstDash val="dash"/>
              <a:round/>
            </a:ln>
          </c:spPr>
          <c:marker>
            <c:symbol val="dash"/>
            <c:size val="4"/>
            <c:spPr>
              <a:solidFill>
                <a:srgbClr val="8a8a8a"/>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'CPT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'CPT vs Market'!$W$4:$W$13</c:f>
              <c:numCache>
                <c:formatCode>0.0</c:formatCode>
                <c:ptCount val="10"/>
                <c:pt idx="0">
                  <c:v>100</c:v>
                </c:pt>
                <c:pt idx="1">
                  <c:v>102.13162225787</c:v>
                </c:pt>
                <c:pt idx="2">
                  <c:v>104.622820357909</c:v>
                </c:pt>
                <c:pt idx="3">
                  <c:v>106.519864169496</c:v>
                </c:pt>
                <c:pt idx="4">
                  <c:v>107.85441969959</c:v>
                </c:pt>
                <c:pt idx="5">
                  <c:v>112.903064519489</c:v>
                </c:pt>
                <c:pt idx="6">
                  <c:v>121.924959896669</c:v>
                </c:pt>
                <c:pt idx="7">
                  <c:v>126.956938397117</c:v>
                </c:pt>
                <c:pt idx="8">
                  <c:v>130.704776983813</c:v>
                </c:pt>
                <c:pt idx="9">
                  <c:v>134.14803858253</c:v>
                </c:pt>
              </c:numCache>
            </c:numRef>
          </c:yVal>
          <c:smooth val="0"/>
        </c:ser>
        <c:axId val="16511715"/>
        <c:axId val="17488281"/>
      </c:scatterChart>
      <c:valAx>
        <c:axId val="16511715"/>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17488281"/>
        <c:crosses val="autoZero"/>
        <c:crossBetween val="midCat"/>
        <c:majorUnit val="1"/>
      </c:valAx>
      <c:valAx>
        <c:axId val="17488281"/>
        <c:scaling>
          <c:orientation val="minMax"/>
        </c:scaling>
        <c:delete val="0"/>
        <c:axPos val="l"/>
        <c:majorGridlines>
          <c:spPr>
            <a:ln w="0">
              <a:solidFill>
                <a:srgbClr val="b3b3b3"/>
              </a:solidFill>
            </a:ln>
          </c:spPr>
        </c:majorGridlines>
        <c:numFmt formatCode="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16511715"/>
        <c:crosses val="autoZero"/>
        <c:crossBetween val="midCat"/>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36.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Market Asking Rent and Occupancy (2016-2025)
Left axis: CoStar market asking rent, $/Unit. Right axis: occupancy (100% less vacancy).</a:t>
            </a:r>
          </a:p>
        </c:rich>
      </c:tx>
      <c:overlay val="0"/>
      <c:spPr>
        <a:noFill/>
        <a:ln w="0">
          <a:noFill/>
        </a:ln>
      </c:spPr>
    </c:title>
    <c:autoTitleDeleted val="0"/>
    <c:plotArea>
      <c:layout>
        <c:manualLayout>
          <c:layoutTarget val="inner"/>
          <c:xMode val="edge"/>
          <c:yMode val="edge"/>
          <c:x val="0.100043050634169"/>
          <c:y val="0.16016016016016"/>
          <c:w val="0.799450276517535"/>
          <c:h val="0.61961961961962"/>
        </c:manualLayout>
      </c:layout>
      <c:scatterChart>
        <c:scatterStyle val="lineMarker"/>
        <c:varyColors val="0"/>
        <c:ser>
          <c:idx val="0"/>
          <c:order val="0"/>
          <c:tx>
            <c:strRef>
              <c:f>"CoStar Market Asking Rent ($/Unit, left)"</c:f>
              <c:strCache>
                <c:ptCount val="1"/>
                <c:pt idx="0">
                  <c:v>CoStar Market Asking Rent ($/Unit, left)</c:v>
                </c:pt>
              </c:strCache>
            </c:strRef>
          </c:tx>
          <c:spPr>
            <a:solidFill>
              <a:srgbClr val="a31f34"/>
            </a:solidFill>
            <a:ln w="28440">
              <a:solidFill>
                <a:srgbClr val="a31f34"/>
              </a:solidFill>
              <a:round/>
            </a:ln>
          </c:spPr>
          <c:marker>
            <c:symbol val="circle"/>
            <c:size val="5"/>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'CPT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'CPT vs Market'!$AA$4:$AA$13</c:f>
              <c:numCache>
                <c:formatCode>#,##0</c:formatCode>
                <c:ptCount val="10"/>
                <c:pt idx="0">
                  <c:v>1376.36653028372</c:v>
                </c:pt>
                <c:pt idx="1">
                  <c:v>1413.54736229744</c:v>
                </c:pt>
                <c:pt idx="2">
                  <c:v>1455.35257948066</c:v>
                </c:pt>
                <c:pt idx="3">
                  <c:v>1492.51299863927</c:v>
                </c:pt>
                <c:pt idx="4">
                  <c:v>1515.03157803764</c:v>
                </c:pt>
                <c:pt idx="5">
                  <c:v>1648.60423459865</c:v>
                </c:pt>
                <c:pt idx="6">
                  <c:v>1714.73423795083</c:v>
                </c:pt>
                <c:pt idx="7">
                  <c:v>1737.18200077721</c:v>
                </c:pt>
                <c:pt idx="8">
                  <c:v>1758.30089224859</c:v>
                </c:pt>
                <c:pt idx="9">
                  <c:v>1765.86107725045</c:v>
                </c:pt>
              </c:numCache>
            </c:numRef>
          </c:yVal>
          <c:smooth val="0"/>
        </c:ser>
        <c:axId val="81928226"/>
        <c:axId val="68193737"/>
      </c:scatterChart>
      <c:scatterChart>
        <c:scatterStyle val="lineMarker"/>
        <c:varyColors val="0"/>
        <c:ser>
          <c:idx val="1"/>
          <c:order val="1"/>
          <c:tx>
            <c:strRef>
              <c:f>"CoStar National Occupancy (right)"</c:f>
              <c:strCache>
                <c:ptCount val="1"/>
                <c:pt idx="0">
                  <c:v>CoStar National Occupancy (right)</c:v>
                </c:pt>
              </c:strCache>
            </c:strRef>
          </c:tx>
          <c:spPr>
            <a:solidFill>
              <a:srgbClr val="8a8a8a"/>
            </a:solidFill>
            <a:ln w="28440">
              <a:solidFill>
                <a:srgbClr val="8a8a8a"/>
              </a:solidFill>
              <a:prstDash val="dash"/>
              <a:round/>
            </a:ln>
          </c:spPr>
          <c:marker>
            <c:symbol val="diamond"/>
            <c:size val="4"/>
            <c:spPr>
              <a:solidFill>
                <a:srgbClr val="8a8a8a"/>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'CPT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'CPT vs Market'!$AB$4:$AB$13</c:f>
              <c:numCache>
                <c:formatCode>0.0%</c:formatCode>
                <c:ptCount val="10"/>
                <c:pt idx="0">
                  <c:v>0.933800252657227</c:v>
                </c:pt>
                <c:pt idx="1">
                  <c:v>0.931740924330767</c:v>
                </c:pt>
                <c:pt idx="2">
                  <c:v>0.934208294008667</c:v>
                </c:pt>
                <c:pt idx="3">
                  <c:v>0.933908627107305</c:v>
                </c:pt>
                <c:pt idx="4">
                  <c:v>0.932243901314361</c:v>
                </c:pt>
                <c:pt idx="5">
                  <c:v>0.948838109682052</c:v>
                </c:pt>
                <c:pt idx="6">
                  <c:v>0.934067346552357</c:v>
                </c:pt>
                <c:pt idx="7">
                  <c:v>0.922036331657417</c:v>
                </c:pt>
                <c:pt idx="8">
                  <c:v>0.916767915226356</c:v>
                </c:pt>
                <c:pt idx="9">
                  <c:v>0.915292446721569</c:v>
                </c:pt>
              </c:numCache>
            </c:numRef>
          </c:yVal>
          <c:smooth val="0"/>
        </c:ser>
        <c:axId val="49370114"/>
        <c:axId val="53630919"/>
      </c:scatterChart>
      <c:valAx>
        <c:axId val="81928226"/>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68193737"/>
        <c:crosses val="autoZero"/>
        <c:crossBetween val="midCat"/>
        <c:majorUnit val="1"/>
      </c:valAx>
      <c:valAx>
        <c:axId val="68193737"/>
        <c:scaling>
          <c:orientation val="minMax"/>
        </c:scaling>
        <c:delete val="0"/>
        <c:axPos val="l"/>
        <c:majorGridlines>
          <c:spPr>
            <a:ln w="0">
              <a:solidFill>
                <a:srgbClr val="b3b3b3"/>
              </a:solidFill>
            </a:ln>
          </c:spPr>
        </c:majorGridlines>
        <c:numFmt formatCode="\$0.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81928226"/>
        <c:crosses val="autoZero"/>
        <c:crossBetween val="midCat"/>
      </c:valAx>
      <c:valAx>
        <c:axId val="49370114"/>
        <c:scaling>
          <c:orientation val="minMax"/>
        </c:scaling>
        <c:delete val="1"/>
        <c:axPos val="t"/>
        <c:numFmt formatCode="General" sourceLinked="1"/>
        <c:majorTickMark val="none"/>
        <c:minorTickMark val="none"/>
        <c:tickLblPos val="none"/>
        <c:spPr>
          <a:ln w="0">
            <a:solidFill>
              <a:srgbClr val="b3b3b3"/>
            </a:solidFill>
          </a:ln>
        </c:spPr>
        <c:txPr>
          <a:bodyPr/>
          <a:lstStyle/>
          <a:p>
            <a:pPr>
              <a:defRPr b="0" sz="1000" spc="-1" strike="noStrike">
                <a:solidFill>
                  <a:srgbClr val="000000"/>
                </a:solidFill>
                <a:latin typeface="Calibri"/>
              </a:defRPr>
            </a:pPr>
          </a:p>
        </c:txPr>
        <c:crossAx val="53630919"/>
        <c:crossBetween val="midCat"/>
        <c:majorUnit val="1"/>
      </c:valAx>
      <c:valAx>
        <c:axId val="53630919"/>
        <c:scaling>
          <c:orientation val="minMax"/>
        </c:scaling>
        <c:delete val="0"/>
        <c:axPos val="r"/>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49370114"/>
        <c:crosses val="max"/>
        <c:crossBetween val="midCat"/>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37.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Asking Rent and Market-RevPAF (Indexed, 2016 = 100) and Vacancy (2016-2025)</a:t>
            </a:r>
          </a:p>
        </c:rich>
      </c:tx>
      <c:overlay val="0"/>
      <c:spPr>
        <a:noFill/>
        <a:ln w="0">
          <a:noFill/>
        </a:ln>
      </c:spPr>
    </c:title>
    <c:autoTitleDeleted val="0"/>
    <c:plotArea>
      <c:layout>
        <c:manualLayout>
          <c:layoutTarget val="inner"/>
          <c:xMode val="edge"/>
          <c:yMode val="edge"/>
          <c:x val="0.100043050634169"/>
          <c:y val="0.16016016016016"/>
          <c:w val="0.799450276517535"/>
          <c:h val="0.61961961961962"/>
        </c:manualLayout>
      </c:layout>
      <c:scatterChart>
        <c:scatterStyle val="lineMarker"/>
        <c:varyColors val="0"/>
        <c:ser>
          <c:idx val="0"/>
          <c:order val="0"/>
          <c:tx>
            <c:strRef>
              <c:f>"CoStar Market Asking Rent (2016 = 100)"</c:f>
              <c:strCache>
                <c:ptCount val="1"/>
                <c:pt idx="0">
                  <c:v>CoStar Market Asking Rent (2016 = 100)</c:v>
                </c:pt>
              </c:strCache>
            </c:strRef>
          </c:tx>
          <c:spPr>
            <a:solidFill>
              <a:srgbClr val="1f3b57"/>
            </a:solidFill>
            <a:ln w="28440">
              <a:solidFill>
                <a:srgbClr val="1f3b57"/>
              </a:solidFill>
              <a:round/>
            </a:ln>
          </c:spPr>
          <c:marker>
            <c:symbol val="circle"/>
            <c:size val="5"/>
            <c:spPr>
              <a:solidFill>
                <a:srgbClr val="1f3b57"/>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'CPT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'CPT vs Market'!$X$4:$X$13</c:f>
              <c:numCache>
                <c:formatCode>0.0</c:formatCode>
                <c:ptCount val="10"/>
                <c:pt idx="0">
                  <c:v>100</c:v>
                </c:pt>
                <c:pt idx="1">
                  <c:v>102.701375774232</c:v>
                </c:pt>
                <c:pt idx="2">
                  <c:v>105.738736554474</c:v>
                </c:pt>
                <c:pt idx="3">
                  <c:v>108.438629231387</c:v>
                </c:pt>
                <c:pt idx="4">
                  <c:v>110.074718085838</c:v>
                </c:pt>
                <c:pt idx="5">
                  <c:v>119.77944815752</c:v>
                </c:pt>
                <c:pt idx="6">
                  <c:v>124.5841278629</c:v>
                </c:pt>
                <c:pt idx="7">
                  <c:v>126.215071534696</c:v>
                </c:pt>
                <c:pt idx="8">
                  <c:v>127.749465971549</c:v>
                </c:pt>
                <c:pt idx="9">
                  <c:v>128.2987517058</c:v>
                </c:pt>
              </c:numCache>
            </c:numRef>
          </c:yVal>
          <c:smooth val="0"/>
        </c:ser>
        <c:ser>
          <c:idx val="1"/>
          <c:order val="1"/>
          <c:tx>
            <c:strRef>
              <c:f>"Green Street Market-RevPAF (2016 = 100)"</c:f>
              <c:strCache>
                <c:ptCount val="1"/>
                <c:pt idx="0">
                  <c:v>Green Street Market-RevPAF (2016 = 100)</c:v>
                </c:pt>
              </c:strCache>
            </c:strRef>
          </c:tx>
          <c:spPr>
            <a:solidFill>
              <a:srgbClr val="a31f34"/>
            </a:solidFill>
            <a:ln w="28440">
              <a:solidFill>
                <a:srgbClr val="a31f34"/>
              </a:solidFill>
              <a:round/>
            </a:ln>
          </c:spPr>
          <c:marker>
            <c:symbol val="square"/>
            <c:size val="5"/>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'CPT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'CPT vs Market'!$AC$4:$AC$13</c:f>
              <c:numCache>
                <c:formatCode>0.0</c:formatCode>
                <c:ptCount val="10"/>
                <c:pt idx="0">
                  <c:v>100</c:v>
                </c:pt>
                <c:pt idx="1">
                  <c:v>101.91307</c:v>
                </c:pt>
                <c:pt idx="2">
                  <c:v>105.538820080952</c:v>
                </c:pt>
                <c:pt idx="3">
                  <c:v>108.533613913498</c:v>
                </c:pt>
                <c:pt idx="4">
                  <c:v>106.659623695541</c:v>
                </c:pt>
                <c:pt idx="5">
                  <c:v>123.022780000098</c:v>
                </c:pt>
                <c:pt idx="6">
                  <c:v>128.621102605667</c:v>
                </c:pt>
                <c:pt idx="7">
                  <c:v>128.260630389715</c:v>
                </c:pt>
                <c:pt idx="8">
                  <c:v>128.940642599915</c:v>
                </c:pt>
                <c:pt idx="9">
                  <c:v>129.359570747722</c:v>
                </c:pt>
              </c:numCache>
            </c:numRef>
          </c:yVal>
          <c:smooth val="0"/>
        </c:ser>
        <c:axId val="90724098"/>
        <c:axId val="30003561"/>
      </c:scatterChart>
      <c:scatterChart>
        <c:scatterStyle val="lineMarker"/>
        <c:varyColors val="0"/>
        <c:ser>
          <c:idx val="2"/>
          <c:order val="2"/>
          <c:tx>
            <c:strRef>
              <c:f>"CoStar National Vacancy (%)"</c:f>
              <c:strCache>
                <c:ptCount val="1"/>
                <c:pt idx="0">
                  <c:v>CoStar National Vacancy (%)</c:v>
                </c:pt>
              </c:strCache>
            </c:strRef>
          </c:tx>
          <c:spPr>
            <a:solidFill>
              <a:srgbClr val="8a8a8a"/>
            </a:solidFill>
            <a:ln w="28440">
              <a:solidFill>
                <a:srgbClr val="8a8a8a"/>
              </a:solidFill>
              <a:prstDash val="dash"/>
              <a:round/>
            </a:ln>
          </c:spPr>
          <c:marker>
            <c:symbol val="diamond"/>
            <c:size val="4"/>
            <c:spPr>
              <a:solidFill>
                <a:srgbClr val="8a8a8a"/>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'CPT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'CPT vs Market'!$G$4:$G$13</c:f>
              <c:numCache>
                <c:formatCode>0.00%</c:formatCode>
                <c:ptCount val="10"/>
                <c:pt idx="0">
                  <c:v>0.0661997473427734</c:v>
                </c:pt>
                <c:pt idx="1">
                  <c:v>0.0682590756692329</c:v>
                </c:pt>
                <c:pt idx="2">
                  <c:v>0.0657917059913334</c:v>
                </c:pt>
                <c:pt idx="3">
                  <c:v>0.0660913728926952</c:v>
                </c:pt>
                <c:pt idx="4">
                  <c:v>0.0677560986856392</c:v>
                </c:pt>
                <c:pt idx="5">
                  <c:v>0.0511618903179478</c:v>
                </c:pt>
                <c:pt idx="6">
                  <c:v>0.0659326534476428</c:v>
                </c:pt>
                <c:pt idx="7">
                  <c:v>0.0779636683425829</c:v>
                </c:pt>
                <c:pt idx="8">
                  <c:v>0.083232084773644</c:v>
                </c:pt>
                <c:pt idx="9">
                  <c:v>0.0847075532784309</c:v>
                </c:pt>
              </c:numCache>
            </c:numRef>
          </c:yVal>
          <c:smooth val="0"/>
        </c:ser>
        <c:axId val="90273226"/>
        <c:axId val="6437794"/>
      </c:scatterChart>
      <c:valAx>
        <c:axId val="90724098"/>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30003561"/>
        <c:crosses val="autoZero"/>
        <c:crossBetween val="midCat"/>
        <c:majorUnit val="1"/>
      </c:valAx>
      <c:valAx>
        <c:axId val="30003561"/>
        <c:scaling>
          <c:orientation val="minMax"/>
        </c:scaling>
        <c:delete val="0"/>
        <c:axPos val="l"/>
        <c:majorGridlines>
          <c:spPr>
            <a:ln w="0">
              <a:solidFill>
                <a:srgbClr val="b3b3b3"/>
              </a:solidFill>
            </a:ln>
          </c:spPr>
        </c:majorGridlines>
        <c:numFmt formatCode="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90724098"/>
        <c:crosses val="autoZero"/>
        <c:crossBetween val="midCat"/>
      </c:valAx>
      <c:valAx>
        <c:axId val="90273226"/>
        <c:scaling>
          <c:orientation val="minMax"/>
        </c:scaling>
        <c:delete val="1"/>
        <c:axPos val="t"/>
        <c:numFmt formatCode="General" sourceLinked="1"/>
        <c:majorTickMark val="none"/>
        <c:minorTickMark val="none"/>
        <c:tickLblPos val="none"/>
        <c:spPr>
          <a:ln w="0">
            <a:solidFill>
              <a:srgbClr val="b3b3b3"/>
            </a:solidFill>
          </a:ln>
        </c:spPr>
        <c:txPr>
          <a:bodyPr/>
          <a:lstStyle/>
          <a:p>
            <a:pPr>
              <a:defRPr b="0" sz="1000" spc="-1" strike="noStrike">
                <a:solidFill>
                  <a:srgbClr val="000000"/>
                </a:solidFill>
                <a:latin typeface="Calibri"/>
              </a:defRPr>
            </a:pPr>
          </a:p>
        </c:txPr>
        <c:crossAx val="6437794"/>
        <c:crossBetween val="midCat"/>
        <c:majorUnit val="1"/>
      </c:valAx>
      <c:valAx>
        <c:axId val="6437794"/>
        <c:scaling>
          <c:orientation val="minMax"/>
        </c:scaling>
        <c:delete val="0"/>
        <c:axPos val="r"/>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90273226"/>
        <c:crosses val="max"/>
        <c:crossBetween val="midCat"/>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38.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Supply Reduction and Forecast Revenue Recovery (2016-2030): Market-RevPAF Growth
Green Street, 50-market weighted average; dashed segment is the Green Street forecast (2026-2030).</a:t>
            </a:r>
          </a:p>
        </c:rich>
      </c:tx>
      <c:overlay val="0"/>
      <c:spPr>
        <a:noFill/>
        <a:ln w="0">
          <a:noFill/>
        </a:ln>
      </c:spPr>
    </c:title>
    <c:autoTitleDeleted val="0"/>
    <c:plotArea>
      <c:layout>
        <c:manualLayout>
          <c:layoutTarget val="inner"/>
          <c:xMode val="edge"/>
          <c:yMode val="edge"/>
          <c:x val="0.100043050634169"/>
          <c:y val="0.16016016016016"/>
          <c:w val="0.799450276517535"/>
          <c:h val="0.61961961961962"/>
        </c:manualLayout>
      </c:layout>
      <c:scatterChart>
        <c:scatterStyle val="lineMarker"/>
        <c:varyColors val="0"/>
        <c:ser>
          <c:idx val="0"/>
          <c:order val="0"/>
          <c:tx>
            <c:strRef>
              <c:f>"Market-RevPAF Growth, actual"</c:f>
              <c:strCache>
                <c:ptCount val="1"/>
                <c:pt idx="0">
                  <c:v>Market-RevPAF Growth, actual</c:v>
                </c:pt>
              </c:strCache>
            </c:strRef>
          </c:tx>
          <c:spPr>
            <a:solidFill>
              <a:srgbClr val="a31f34"/>
            </a:solidFill>
            <a:ln w="28440">
              <a:solidFill>
                <a:srgbClr val="a31f34"/>
              </a:solidFill>
              <a:round/>
            </a:ln>
          </c:spPr>
          <c:marker>
            <c:symbol val="circle"/>
            <c:size val="5"/>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'Green Street National'!$A$4:$A$13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'Green Street National'!$C$4:$C$13</c:f>
              <c:numCache>
                <c:formatCode>0.00%</c:formatCode>
                <c:ptCount val="10"/>
                <c:pt idx="0">
                  <c:v>0.01663905</c:v>
                </c:pt>
                <c:pt idx="1">
                  <c:v>0.0191307</c:v>
                </c:pt>
                <c:pt idx="2">
                  <c:v>0.03557689</c:v>
                </c:pt>
                <c:pt idx="3">
                  <c:v>0.02837623</c:v>
                </c:pt>
                <c:pt idx="4">
                  <c:v>-0.01726645</c:v>
                </c:pt>
                <c:pt idx="5">
                  <c:v>0.15341472</c:v>
                </c:pt>
                <c:pt idx="6">
                  <c:v>0.04550639</c:v>
                </c:pt>
                <c:pt idx="7">
                  <c:v>-0.00280259</c:v>
                </c:pt>
                <c:pt idx="8">
                  <c:v>0.0053018</c:v>
                </c:pt>
                <c:pt idx="9">
                  <c:v>0.003249</c:v>
                </c:pt>
              </c:numCache>
            </c:numRef>
          </c:yVal>
          <c:smooth val="0"/>
        </c:ser>
        <c:ser>
          <c:idx val="1"/>
          <c:order val="1"/>
          <c:tx>
            <c:strRef>
              <c:f>"Market-RevPAF Growth, Green Street forecast"</c:f>
              <c:strCache>
                <c:ptCount val="1"/>
                <c:pt idx="0">
                  <c:v>Market-RevPAF Growth, Green Street forecast</c:v>
                </c:pt>
              </c:strCache>
            </c:strRef>
          </c:tx>
          <c:spPr>
            <a:solidFill>
              <a:srgbClr val="a31f34"/>
            </a:solidFill>
            <a:ln w="28440">
              <a:solidFill>
                <a:srgbClr val="a31f34"/>
              </a:solidFill>
              <a:prstDash val="dash"/>
              <a:round/>
            </a:ln>
          </c:spPr>
          <c:marker>
            <c:symbol val="circle"/>
            <c:size val="5"/>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'Green Street National'!$A$13:$A$18</c:f>
              <c:numCache>
                <c:formatCode>General</c:formatCode>
                <c:ptCount val="6"/>
                <c:pt idx="0">
                  <c:v>2025</c:v>
                </c:pt>
                <c:pt idx="1">
                  <c:v>2026</c:v>
                </c:pt>
                <c:pt idx="2">
                  <c:v>2027</c:v>
                </c:pt>
                <c:pt idx="3">
                  <c:v>2028</c:v>
                </c:pt>
                <c:pt idx="4">
                  <c:v>2029</c:v>
                </c:pt>
                <c:pt idx="5">
                  <c:v>2030</c:v>
                </c:pt>
              </c:numCache>
            </c:numRef>
          </c:xVal>
          <c:yVal>
            <c:numRef>
              <c:f>'Green Street National'!$C$13:$C$18</c:f>
              <c:numCache>
                <c:formatCode>0.00%</c:formatCode>
                <c:ptCount val="6"/>
                <c:pt idx="0">
                  <c:v>0.003249</c:v>
                </c:pt>
                <c:pt idx="1">
                  <c:v>0.02318629</c:v>
                </c:pt>
                <c:pt idx="2">
                  <c:v>0.02469338</c:v>
                </c:pt>
                <c:pt idx="3">
                  <c:v>0.03493457</c:v>
                </c:pt>
                <c:pt idx="4">
                  <c:v>0.03015955</c:v>
                </c:pt>
                <c:pt idx="5">
                  <c:v>0.02999998</c:v>
                </c:pt>
              </c:numCache>
            </c:numRef>
          </c:yVal>
          <c:smooth val="0"/>
        </c:ser>
        <c:axId val="98462903"/>
        <c:axId val="35595004"/>
      </c:scatterChart>
      <c:valAx>
        <c:axId val="98462903"/>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35595004"/>
        <c:crosses val="autoZero"/>
        <c:crossBetween val="midCat"/>
        <c:majorUnit val="1"/>
      </c:valAx>
      <c:valAx>
        <c:axId val="35595004"/>
        <c:scaling>
          <c:orientation val="minMax"/>
        </c:scaling>
        <c:delete val="0"/>
        <c:axPos val="l"/>
        <c:majorGridlines>
          <c:spPr>
            <a:ln w="0">
              <a:solidFill>
                <a:srgbClr val="b3b3b3"/>
              </a:solidFill>
            </a:ln>
          </c:spPr>
        </c:majorGridlines>
        <c:numFmt formatCode="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98462903"/>
        <c:crosses val="autoZero"/>
        <c:crossBetween val="midCat"/>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39.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Supply Reduction and Forecast Revenue Recovery (2016-2030): Supply Growth (% of Stock)
Green Street, 50-market weighted average; lighter bars are the Green Street forecast (2026-2030).</a:t>
            </a:r>
          </a:p>
        </c:rich>
      </c:tx>
      <c:overlay val="0"/>
      <c:spPr>
        <a:noFill/>
        <a:ln w="0">
          <a:noFill/>
        </a:ln>
      </c:spPr>
    </c:title>
    <c:autoTitleDeleted val="0"/>
    <c:plotArea>
      <c:layout>
        <c:manualLayout>
          <c:layoutTarget val="inner"/>
          <c:xMode val="edge"/>
          <c:yMode val="edge"/>
          <c:x val="0.100043050634169"/>
          <c:y val="0.16016016016016"/>
          <c:w val="0.799450276517535"/>
          <c:h val="0.61961961961962"/>
        </c:manualLayout>
      </c:layout>
      <c:barChart>
        <c:barDir val="col"/>
        <c:grouping val="stacked"/>
        <c:varyColors val="0"/>
        <c:ser>
          <c:idx val="0"/>
          <c:order val="0"/>
          <c:tx>
            <c:strRef>
              <c:f>"Supply Growth, actual"</c:f>
              <c:strCache>
                <c:ptCount val="1"/>
                <c:pt idx="0">
                  <c:v>Supply Growth, actual</c:v>
                </c:pt>
              </c:strCache>
            </c:strRef>
          </c:tx>
          <c:spPr>
            <a:solidFill>
              <a:srgbClr val="1f3b57"/>
            </a:solidFill>
            <a:ln w="0">
              <a:noFill/>
            </a:ln>
          </c:spPr>
          <c:invertIfNegative val="0"/>
          <c:dLbls>
            <c:txPr>
              <a:bodyPr wrap="square"/>
              <a:lstStyle/>
              <a:p>
                <a:pPr>
                  <a:defRPr b="0" sz="1000" spc="-1" strike="noStrike">
                    <a:solidFill>
                      <a:srgbClr val="000000"/>
                    </a:solidFill>
                    <a:latin typeface="Calibri"/>
                  </a:defRPr>
                </a:pPr>
              </a:p>
            </c:txPr>
            <c:dLblPos val="ct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'Green Street National'!$A$4:$A$18</c:f>
              <c:strCache>
                <c:ptCount val="1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strCache>
            </c:strRef>
          </c:cat>
          <c:val>
            <c:numRef>
              <c:f>'Green Street National'!$H$4:$H$18</c:f>
              <c:numCache>
                <c:formatCode>0.00%</c:formatCode>
                <c:ptCount val="15"/>
                <c:pt idx="0">
                  <c:v>0.0149858</c:v>
                </c:pt>
                <c:pt idx="1">
                  <c:v>0.01686709</c:v>
                </c:pt>
                <c:pt idx="2">
                  <c:v>0.01575162</c:v>
                </c:pt>
                <c:pt idx="3">
                  <c:v>0.0159728</c:v>
                </c:pt>
                <c:pt idx="4">
                  <c:v>0.01823612</c:v>
                </c:pt>
                <c:pt idx="5">
                  <c:v>0.01970652</c:v>
                </c:pt>
                <c:pt idx="6">
                  <c:v>0.02073482</c:v>
                </c:pt>
                <c:pt idx="7">
                  <c:v>0.02301904</c:v>
                </c:pt>
                <c:pt idx="8">
                  <c:v>0.0283895</c:v>
                </c:pt>
                <c:pt idx="9">
                  <c:v>0.02216701</c:v>
                </c:pt>
              </c:numCache>
            </c:numRef>
          </c:val>
        </c:ser>
        <c:ser>
          <c:idx val="1"/>
          <c:order val="1"/>
          <c:tx>
            <c:strRef>
              <c:f>"Supply Growth, Green Street forecast"</c:f>
              <c:strCache>
                <c:ptCount val="1"/>
                <c:pt idx="0">
                  <c:v>Supply Growth, Green Street forecast</c:v>
                </c:pt>
              </c:strCache>
            </c:strRef>
          </c:tx>
          <c:spPr>
            <a:solidFill>
              <a:srgbClr val="a9bcd1"/>
            </a:solidFill>
            <a:ln w="0">
              <a:noFill/>
            </a:ln>
          </c:spPr>
          <c:invertIfNegative val="0"/>
          <c:dLbls>
            <c:txPr>
              <a:bodyPr wrap="square"/>
              <a:lstStyle/>
              <a:p>
                <a:pPr>
                  <a:defRPr b="0" sz="1000" spc="-1" strike="noStrike">
                    <a:solidFill>
                      <a:srgbClr val="000000"/>
                    </a:solidFill>
                    <a:latin typeface="Calibri"/>
                  </a:defRPr>
                </a:pPr>
              </a:p>
            </c:txPr>
            <c:dLblPos val="ct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'Green Street National'!$A$4:$A$18</c:f>
              <c:strCache>
                <c:ptCount val="1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strCache>
            </c:strRef>
          </c:cat>
          <c:val>
            <c:numRef>
              <c:f>'Green Street National'!$I$4:$I$18</c:f>
              <c:numCache>
                <c:formatCode>0.00%</c:formatCode>
                <c:ptCount val="15"/>
                <c:pt idx="10">
                  <c:v>0.01712276</c:v>
                </c:pt>
                <c:pt idx="11">
                  <c:v>0.013</c:v>
                </c:pt>
                <c:pt idx="12">
                  <c:v>0.012</c:v>
                </c:pt>
                <c:pt idx="13">
                  <c:v>0.013</c:v>
                </c:pt>
                <c:pt idx="14">
                  <c:v>0.013</c:v>
                </c:pt>
              </c:numCache>
            </c:numRef>
          </c:val>
        </c:ser>
        <c:gapWidth val="150"/>
        <c:overlap val="100"/>
        <c:axId val="2757239"/>
        <c:axId val="27269260"/>
      </c:barChart>
      <c:catAx>
        <c:axId val="2757239"/>
        <c:scaling>
          <c:orientation val="minMax"/>
        </c:scaling>
        <c:delete val="0"/>
        <c:axPos val="b"/>
        <c:numFmt formatCode="General"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27269260"/>
        <c:crosses val="autoZero"/>
        <c:auto val="1"/>
        <c:lblAlgn val="ctr"/>
        <c:lblOffset val="100"/>
        <c:noMultiLvlLbl val="0"/>
      </c:catAx>
      <c:valAx>
        <c:axId val="27269260"/>
        <c:scaling>
          <c:orientation val="minMax"/>
        </c:scaling>
        <c:delete val="0"/>
        <c:axPos val="l"/>
        <c:majorGridlines>
          <c:spPr>
            <a:ln w="0">
              <a:solidFill>
                <a:srgbClr val="b3b3b3"/>
              </a:solidFill>
            </a:ln>
          </c:spPr>
        </c:majorGridlines>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2757239"/>
        <c:crosses val="autoZero"/>
        <c:crossBetween val="between"/>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4.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800" spc="-1" strike="noStrike">
                <a:solidFill>
                  <a:srgbClr val="000000"/>
                </a:solidFill>
                <a:latin typeface="Calibri"/>
              </a:defRPr>
            </a:pPr>
            <a:r>
              <a:rPr b="1" lang="en-US" sz="1800" spc="-1" strike="noStrike">
                <a:solidFill>
                  <a:srgbClr val="000000"/>
                </a:solidFill>
                <a:latin typeface="Calibri"/>
              </a:rPr>
              <a:t>AVB Stabilized Implied Cap Rate vs. 10-Yr UST, with Spread (2016-2025)</a:t>
            </a:r>
          </a:p>
        </c:rich>
      </c:tx>
      <c:overlay val="0"/>
      <c:spPr>
        <a:noFill/>
        <a:ln w="0">
          <a:noFill/>
        </a:ln>
      </c:spPr>
    </c:title>
    <c:autoTitleDeleted val="0"/>
    <c:plotArea>
      <c:layout>
        <c:manualLayout>
          <c:layoutTarget val="inner"/>
          <c:xMode val="edge"/>
          <c:yMode val="edge"/>
          <c:x val="0.100043050634169"/>
          <c:y val="0.14014014014014"/>
          <c:w val="0.799450276517535"/>
          <c:h val="0.67967967967968"/>
        </c:manualLayout>
      </c:layout>
      <c:barChart>
        <c:barDir val="col"/>
        <c:grouping val="clustered"/>
        <c:varyColors val="0"/>
        <c:ser>
          <c:idx val="0"/>
          <c:order val="0"/>
          <c:tx>
            <c:strRef>
              <c:f>'AVB vs Market'!$D$3</c:f>
              <c:strCache>
                <c:ptCount val="1"/>
                <c:pt idx="0">
                  <c:v>Spread: Cap Rate less UST (pp)</c:v>
                </c:pt>
              </c:strCache>
            </c:strRef>
          </c:tx>
          <c:spPr>
            <a:solidFill>
              <a:srgbClr val="d9a0a8"/>
            </a:solidFill>
            <a:ln w="0">
              <a:solidFill>
                <a:srgbClr val="b87b85"/>
              </a:solidFill>
            </a:ln>
          </c:spPr>
          <c:invertIfNegative val="0"/>
          <c:dLbls>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'AVB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'AVB vs Market'!$D$4:$D$13</c:f>
              <c:numCache>
                <c:formatCode>0.00%</c:formatCode>
                <c:ptCount val="10"/>
                <c:pt idx="0">
                  <c:v>0.0234929741398078</c:v>
                </c:pt>
                <c:pt idx="1">
                  <c:v>0.0247053434256344</c:v>
                </c:pt>
                <c:pt idx="2">
                  <c:v>0.0256525643905147</c:v>
                </c:pt>
                <c:pt idx="3">
                  <c:v>0.0266534983322351</c:v>
                </c:pt>
                <c:pt idx="4">
                  <c:v>0.0443289608635082</c:v>
                </c:pt>
                <c:pt idx="5">
                  <c:v>0.0204808440799286</c:v>
                </c:pt>
                <c:pt idx="6">
                  <c:v>0.0207244586935358</c:v>
                </c:pt>
                <c:pt idx="7">
                  <c:v>0.0181948193422299</c:v>
                </c:pt>
                <c:pt idx="8">
                  <c:v>0.00592151129370366</c:v>
                </c:pt>
                <c:pt idx="9">
                  <c:v>0.0188232243679619</c:v>
                </c:pt>
              </c:numCache>
            </c:numRef>
          </c:val>
        </c:ser>
        <c:gapWidth val="80"/>
        <c:overlap val="0"/>
        <c:axId val="5334789"/>
        <c:axId val="27557534"/>
      </c:barChart>
      <c:lineChart>
        <c:grouping val="standard"/>
        <c:varyColors val="0"/>
        <c:ser>
          <c:idx val="1"/>
          <c:order val="1"/>
          <c:tx>
            <c:strRef>
              <c:f>'AVB vs Market'!$B$3</c:f>
              <c:strCache>
                <c:ptCount val="1"/>
                <c:pt idx="0">
                  <c:v>AVB Stabilized Implied Cap Rate (%)</c:v>
                </c:pt>
              </c:strCache>
            </c:strRef>
          </c:tx>
          <c:spPr>
            <a:solidFill>
              <a:srgbClr val="a31f34"/>
            </a:solidFill>
            <a:ln w="28080">
              <a:solidFill>
                <a:srgbClr val="a31f34"/>
              </a:solidFill>
              <a:round/>
            </a:ln>
          </c:spPr>
          <c:marker>
            <c:symbol val="circle"/>
            <c:size val="6"/>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'AVB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'AVB vs Market'!$B$4:$B$13</c:f>
              <c:numCache>
                <c:formatCode>0.00%</c:formatCode>
                <c:ptCount val="10"/>
                <c:pt idx="0">
                  <c:v>0.0479929741398078</c:v>
                </c:pt>
                <c:pt idx="1">
                  <c:v>0.0487053434256344</c:v>
                </c:pt>
                <c:pt idx="2">
                  <c:v>0.0525525643905147</c:v>
                </c:pt>
                <c:pt idx="3">
                  <c:v>0.0458534983322351</c:v>
                </c:pt>
                <c:pt idx="4">
                  <c:v>0.0536289608635082</c:v>
                </c:pt>
                <c:pt idx="5">
                  <c:v>0.0356808440799286</c:v>
                </c:pt>
                <c:pt idx="6">
                  <c:v>0.0595244586935358</c:v>
                </c:pt>
                <c:pt idx="7">
                  <c:v>0.05699481934223</c:v>
                </c:pt>
                <c:pt idx="8">
                  <c:v>0.0517215112937037</c:v>
                </c:pt>
                <c:pt idx="9">
                  <c:v>0.0606232243679619</c:v>
                </c:pt>
              </c:numCache>
            </c:numRef>
          </c:val>
          <c:smooth val="0"/>
        </c:ser>
        <c:ser>
          <c:idx val="2"/>
          <c:order val="2"/>
          <c:tx>
            <c:strRef>
              <c:f>'AVB vs Market'!$C$3</c:f>
              <c:strCache>
                <c:ptCount val="1"/>
                <c:pt idx="0">
                  <c:v>10-Yr UST Yield (%)</c:v>
                </c:pt>
              </c:strCache>
            </c:strRef>
          </c:tx>
          <c:spPr>
            <a:solidFill>
              <a:srgbClr val="3a3a3a"/>
            </a:solidFill>
            <a:ln w="28080">
              <a:solidFill>
                <a:srgbClr val="3a3a3a"/>
              </a:solidFill>
              <a:round/>
            </a:ln>
          </c:spPr>
          <c:marker>
            <c:symbol val="circle"/>
            <c:size val="6"/>
            <c:spPr>
              <a:solidFill>
                <a:srgbClr val="3a3a3a"/>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'AVB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'AVB vs Market'!$C$4:$C$13</c:f>
              <c:numCache>
                <c:formatCode>0.00%</c:formatCode>
                <c:ptCount val="10"/>
                <c:pt idx="0">
                  <c:v>0.0245</c:v>
                </c:pt>
                <c:pt idx="1">
                  <c:v>0.024</c:v>
                </c:pt>
                <c:pt idx="2">
                  <c:v>0.0269</c:v>
                </c:pt>
                <c:pt idx="3">
                  <c:v>0.0192</c:v>
                </c:pt>
                <c:pt idx="4">
                  <c:v>0.0093</c:v>
                </c:pt>
                <c:pt idx="5">
                  <c:v>0.0152</c:v>
                </c:pt>
                <c:pt idx="6">
                  <c:v>0.0388</c:v>
                </c:pt>
                <c:pt idx="7">
                  <c:v>0.0388</c:v>
                </c:pt>
                <c:pt idx="8">
                  <c:v>0.0458</c:v>
                </c:pt>
                <c:pt idx="9">
                  <c:v>0.0418</c:v>
                </c:pt>
              </c:numCache>
            </c:numRef>
          </c:val>
          <c:smooth val="0"/>
        </c:ser>
        <c:hiLowLines>
          <c:spPr>
            <a:ln w="0">
              <a:noFill/>
            </a:ln>
          </c:spPr>
        </c:hiLowLines>
        <c:marker val="1"/>
        <c:axId val="32903131"/>
        <c:axId val="2965615"/>
      </c:lineChart>
      <c:catAx>
        <c:axId val="5334789"/>
        <c:scaling>
          <c:orientation val="minMax"/>
        </c:scaling>
        <c:delete val="0"/>
        <c:axPos val="b"/>
        <c:numFmt formatCode="General"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27557534"/>
        <c:crosses val="autoZero"/>
        <c:auto val="1"/>
        <c:lblAlgn val="ctr"/>
        <c:lblOffset val="100"/>
        <c:noMultiLvlLbl val="0"/>
      </c:catAx>
      <c:valAx>
        <c:axId val="27557534"/>
        <c:scaling>
          <c:orientation val="minMax"/>
        </c:scaling>
        <c:delete val="0"/>
        <c:axPos val="l"/>
        <c:majorGridlines>
          <c:spPr>
            <a:ln w="0">
              <a:solidFill>
                <a:srgbClr val="b3b3b3"/>
              </a:solidFill>
            </a:ln>
          </c:spPr>
        </c:majorGridlines>
        <c:title>
          <c:tx>
            <c:rich>
              <a:bodyPr rot="-5400000"/>
              <a:lstStyle/>
              <a:p>
                <a:pPr>
                  <a:defRPr b="1" lang="en-US" sz="1000" spc="-1" strike="noStrike">
                    <a:solidFill>
                      <a:srgbClr val="000000"/>
                    </a:solidFill>
                    <a:latin typeface="Calibri"/>
                  </a:defRPr>
                </a:pPr>
                <a:r>
                  <a:rPr b="1" lang="en-US" sz="1000" spc="-1" strike="noStrike">
                    <a:solidFill>
                      <a:srgbClr val="000000"/>
                    </a:solidFill>
                    <a:latin typeface="Calibri"/>
                  </a:rPr>
                  <a:t>Spread (pct pts)</a:t>
                </a:r>
              </a:p>
            </c:rich>
          </c:tx>
          <c:overlay val="0"/>
          <c:spPr>
            <a:noFill/>
            <a:ln w="0">
              <a:noFill/>
            </a:ln>
          </c:spPr>
        </c:title>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5334789"/>
        <c:crosses val="autoZero"/>
        <c:crossBetween val="between"/>
      </c:valAx>
      <c:catAx>
        <c:axId val="32903131"/>
        <c:scaling>
          <c:orientation val="minMax"/>
        </c:scaling>
        <c:delete val="1"/>
        <c:axPos val="t"/>
        <c:numFmt formatCode="General" sourceLinked="1"/>
        <c:majorTickMark val="none"/>
        <c:minorTickMark val="none"/>
        <c:tickLblPos val="none"/>
        <c:spPr>
          <a:ln w="0">
            <a:solidFill>
              <a:srgbClr val="b3b3b3"/>
            </a:solidFill>
          </a:ln>
        </c:spPr>
        <c:txPr>
          <a:bodyPr/>
          <a:lstStyle/>
          <a:p>
            <a:pPr>
              <a:defRPr b="0" sz="1000" spc="-1" strike="noStrike">
                <a:solidFill>
                  <a:srgbClr val="000000"/>
                </a:solidFill>
                <a:latin typeface="Calibri"/>
              </a:defRPr>
            </a:pPr>
          </a:p>
        </c:txPr>
        <c:crossAx val="2965615"/>
        <c:auto val="1"/>
        <c:lblAlgn val="ctr"/>
        <c:lblOffset val="100"/>
        <c:noMultiLvlLbl val="0"/>
      </c:catAx>
      <c:valAx>
        <c:axId val="2965615"/>
        <c:scaling>
          <c:orientation val="minMax"/>
        </c:scaling>
        <c:delete val="0"/>
        <c:axPos val="r"/>
        <c:title>
          <c:tx>
            <c:rich>
              <a:bodyPr rot="-5400000"/>
              <a:lstStyle/>
              <a:p>
                <a:pPr>
                  <a:defRPr b="1" lang="en-US" sz="1000" spc="-1" strike="noStrike">
                    <a:solidFill>
                      <a:srgbClr val="000000"/>
                    </a:solidFill>
                    <a:latin typeface="Calibri"/>
                  </a:defRPr>
                </a:pPr>
                <a:r>
                  <a:rPr b="1" lang="en-US" sz="1000" spc="-1" strike="noStrike">
                    <a:solidFill>
                      <a:srgbClr val="000000"/>
                    </a:solidFill>
                    <a:latin typeface="Calibri"/>
                  </a:rPr>
                  <a:t>Yield (%)</a:t>
                </a:r>
              </a:p>
            </c:rich>
          </c:tx>
          <c:overlay val="0"/>
          <c:spPr>
            <a:noFill/>
            <a:ln w="0">
              <a:noFill/>
            </a:ln>
          </c:spPr>
        </c:title>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32903131"/>
        <c:crosses val="max"/>
        <c:crossBetween val="between"/>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40.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Operating Fundamentals: CoStar Market Asking Rent ($/Unit) (2016-2025)</a:t>
            </a:r>
          </a:p>
        </c:rich>
      </c:tx>
      <c:overlay val="0"/>
      <c:spPr>
        <a:noFill/>
        <a:ln w="0">
          <a:noFill/>
        </a:ln>
      </c:spPr>
    </c:title>
    <c:autoTitleDeleted val="0"/>
    <c:plotArea>
      <c:layout>
        <c:manualLayout>
          <c:layoutTarget val="inner"/>
          <c:xMode val="edge"/>
          <c:yMode val="edge"/>
          <c:x val="0.100043050634169"/>
          <c:y val="0.16016016016016"/>
          <c:w val="0.799450276517535"/>
          <c:h val="0.61961961961962"/>
        </c:manualLayout>
      </c:layout>
      <c:scatterChart>
        <c:scatterStyle val="lineMarker"/>
        <c:varyColors val="0"/>
        <c:ser>
          <c:idx val="0"/>
          <c:order val="0"/>
          <c:tx>
            <c:strRef>
              <c:f>"CoStar Market Asking Rent ($/Unit)"</c:f>
              <c:strCache>
                <c:ptCount val="1"/>
                <c:pt idx="0">
                  <c:v>CoStar Market Asking Rent ($/Unit)</c:v>
                </c:pt>
              </c:strCache>
            </c:strRef>
          </c:tx>
          <c:spPr>
            <a:solidFill>
              <a:srgbClr val="1f3b57"/>
            </a:solidFill>
            <a:ln w="28440">
              <a:solidFill>
                <a:srgbClr val="1f3b57"/>
              </a:solidFill>
              <a:round/>
            </a:ln>
          </c:spPr>
          <c:marker>
            <c:symbol val="circle"/>
            <c:size val="5"/>
            <c:spPr>
              <a:solidFill>
                <a:srgbClr val="1f3b57"/>
              </a:solidFill>
            </c:spPr>
          </c:marker>
          <c:dPt>
            <c:idx val="0"/>
            <c:marker>
              <c:symbol val="circle"/>
              <c:size val="5"/>
              <c:spPr>
                <a:solidFill>
                  <a:srgbClr val="1f3b57"/>
                </a:solidFill>
              </c:spPr>
            </c:marker>
          </c:dPt>
          <c:dPt>
            <c:idx val="1"/>
            <c:marker>
              <c:symbol val="circle"/>
              <c:size val="5"/>
              <c:spPr>
                <a:solidFill>
                  <a:srgbClr val="1f3b57"/>
                </a:solidFill>
              </c:spPr>
            </c:marker>
          </c:dPt>
          <c:dPt>
            <c:idx val="2"/>
            <c:marker>
              <c:symbol val="circle"/>
              <c:size val="5"/>
              <c:spPr>
                <a:solidFill>
                  <a:srgbClr val="1f3b57"/>
                </a:solidFill>
              </c:spPr>
            </c:marker>
          </c:dPt>
          <c:dPt>
            <c:idx val="3"/>
            <c:marker>
              <c:symbol val="circle"/>
              <c:size val="5"/>
              <c:spPr>
                <a:solidFill>
                  <a:srgbClr val="1f3b57"/>
                </a:solidFill>
              </c:spPr>
            </c:marker>
          </c:dPt>
          <c:dPt>
            <c:idx val="4"/>
            <c:marker>
              <c:symbol val="circle"/>
              <c:size val="5"/>
              <c:spPr>
                <a:solidFill>
                  <a:srgbClr val="1f3b57"/>
                </a:solidFill>
              </c:spPr>
            </c:marker>
          </c:dPt>
          <c:dPt>
            <c:idx val="5"/>
            <c:marker>
              <c:symbol val="circle"/>
              <c:size val="5"/>
              <c:spPr>
                <a:solidFill>
                  <a:srgbClr val="1f3b57"/>
                </a:solidFill>
              </c:spPr>
            </c:marker>
          </c:dPt>
          <c:dPt>
            <c:idx val="6"/>
            <c:marker>
              <c:symbol val="circle"/>
              <c:size val="5"/>
              <c:spPr>
                <a:solidFill>
                  <a:srgbClr val="1f3b57"/>
                </a:solidFill>
              </c:spPr>
            </c:marker>
          </c:dPt>
          <c:dPt>
            <c:idx val="7"/>
            <c:marker>
              <c:symbol val="circle"/>
              <c:size val="5"/>
              <c:spPr>
                <a:solidFill>
                  <a:srgbClr val="1f3b57"/>
                </a:solidFill>
              </c:spPr>
            </c:marker>
          </c:dPt>
          <c:dPt>
            <c:idx val="8"/>
            <c:marker>
              <c:symbol val="circle"/>
              <c:size val="5"/>
              <c:spPr>
                <a:solidFill>
                  <a:srgbClr val="1f3b57"/>
                </a:solidFill>
              </c:spPr>
            </c:marker>
          </c:dPt>
          <c:dPt>
            <c:idx val="9"/>
            <c:marker>
              <c:symbol val="circle"/>
              <c:size val="5"/>
              <c:spPr>
                <a:solidFill>
                  <a:srgbClr val="1f3b57"/>
                </a:solidFill>
              </c:spPr>
            </c:marker>
          </c:dPt>
          <c:dLbls>
            <c:dLbl>
              <c:idx val="0"/>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1"/>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2"/>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3"/>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4"/>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5"/>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6"/>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7"/>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8"/>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9"/>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'Composite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'Composite vs Market'!$AA$4:$AA$13</c:f>
              <c:numCache>
                <c:formatCode>#,##0</c:formatCode>
                <c:ptCount val="10"/>
                <c:pt idx="0">
                  <c:v>1376.36653028372</c:v>
                </c:pt>
                <c:pt idx="1">
                  <c:v>1413.54736229744</c:v>
                </c:pt>
                <c:pt idx="2">
                  <c:v>1455.35257948066</c:v>
                </c:pt>
                <c:pt idx="3">
                  <c:v>1492.51299863927</c:v>
                </c:pt>
                <c:pt idx="4">
                  <c:v>1515.03157803764</c:v>
                </c:pt>
                <c:pt idx="5">
                  <c:v>1648.60423459865</c:v>
                </c:pt>
                <c:pt idx="6">
                  <c:v>1714.73423795083</c:v>
                </c:pt>
                <c:pt idx="7">
                  <c:v>1737.18200077721</c:v>
                </c:pt>
                <c:pt idx="8">
                  <c:v>1758.30089224859</c:v>
                </c:pt>
                <c:pt idx="9">
                  <c:v>1765.86107725045</c:v>
                </c:pt>
              </c:numCache>
            </c:numRef>
          </c:yVal>
          <c:smooth val="0"/>
        </c:ser>
        <c:axId val="69124052"/>
        <c:axId val="79963404"/>
      </c:scatterChart>
      <c:valAx>
        <c:axId val="69124052"/>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79963404"/>
        <c:crosses val="autoZero"/>
        <c:crossBetween val="midCat"/>
        <c:majorUnit val="1"/>
      </c:valAx>
      <c:valAx>
        <c:axId val="79963404"/>
        <c:scaling>
          <c:orientation val="minMax"/>
        </c:scaling>
        <c:delete val="0"/>
        <c:axPos val="l"/>
        <c:majorGridlines>
          <c:spPr>
            <a:ln w="0">
              <a:solidFill>
                <a:srgbClr val="b3b3b3"/>
              </a:solidFill>
            </a:ln>
          </c:spPr>
        </c:majorGridlines>
        <c:numFmt formatCode="\$0.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69124052"/>
        <c:crosses val="autoZero"/>
        <c:crossBetween val="midCat"/>
      </c:valAx>
      <c:spPr>
        <a:noFill/>
        <a:ln w="0">
          <a:noFill/>
        </a:ln>
      </c:spPr>
    </c:plotArea>
    <c:plotVisOnly val="1"/>
    <c:dispBlanksAs val="gap"/>
  </c:chart>
  <c:spPr>
    <a:solidFill>
      <a:srgbClr val="ffffff"/>
    </a:solidFill>
    <a:ln w="9360">
      <a:solidFill>
        <a:srgbClr val="d9d9d9"/>
      </a:solidFill>
      <a:round/>
    </a:ln>
  </c:spPr>
</c:chartSpace>
</file>

<file path=xl/charts/chart41.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Inflation and the Cost of Debt: CPI vs. Prime Rate (2016-2025)
2022: CPI averaged 8.0% while the prime rate averaged 4.9%; the prime rate followed to 8.3% by 2023.</a:t>
            </a:r>
          </a:p>
        </c:rich>
      </c:tx>
      <c:overlay val="0"/>
      <c:spPr>
        <a:noFill/>
        <a:ln w="0">
          <a:noFill/>
        </a:ln>
      </c:spPr>
    </c:title>
    <c:autoTitleDeleted val="0"/>
    <c:plotArea>
      <c:layout>
        <c:manualLayout>
          <c:layoutTarget val="inner"/>
          <c:xMode val="edge"/>
          <c:yMode val="edge"/>
          <c:x val="0.100043050634169"/>
          <c:y val="0.16016016016016"/>
          <c:w val="0.799450276517535"/>
          <c:h val="0.61961961961962"/>
        </c:manualLayout>
      </c:layout>
      <c:scatterChart>
        <c:scatterStyle val="lineMarker"/>
        <c:varyColors val="0"/>
        <c:ser>
          <c:idx val="0"/>
          <c:order val="0"/>
          <c:tx>
            <c:strRef>
              <c:f>"Bank Prime Loan Rate"</c:f>
              <c:strCache>
                <c:ptCount val="1"/>
                <c:pt idx="0">
                  <c:v>Bank Prime Loan Rate</c:v>
                </c:pt>
              </c:strCache>
            </c:strRef>
          </c:tx>
          <c:spPr>
            <a:solidFill>
              <a:srgbClr val="8a8a8a"/>
            </a:solidFill>
            <a:ln w="28440">
              <a:solidFill>
                <a:srgbClr val="8a8a8a"/>
              </a:solidFill>
              <a:round/>
            </a:ln>
          </c:spPr>
          <c:marker>
            <c:symbol val="triangle"/>
            <c:size val="5"/>
            <c:spPr>
              <a:solidFill>
                <a:srgbClr val="8a8a8a"/>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'Composite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'Composite vs Market'!$P$4:$P$13</c:f>
              <c:numCache>
                <c:formatCode>0.00%</c:formatCode>
                <c:ptCount val="10"/>
                <c:pt idx="0">
                  <c:v>0.0351</c:v>
                </c:pt>
                <c:pt idx="1">
                  <c:v>0.041</c:v>
                </c:pt>
                <c:pt idx="2">
                  <c:v>0.049</c:v>
                </c:pt>
                <c:pt idx="3">
                  <c:v>0.0528</c:v>
                </c:pt>
                <c:pt idx="4">
                  <c:v>0.0354</c:v>
                </c:pt>
                <c:pt idx="5">
                  <c:v>0.0325</c:v>
                </c:pt>
                <c:pt idx="6">
                  <c:v>0.0485</c:v>
                </c:pt>
                <c:pt idx="7">
                  <c:v>0.0819</c:v>
                </c:pt>
                <c:pt idx="8">
                  <c:v>0.0831</c:v>
                </c:pt>
                <c:pt idx="9">
                  <c:v>0.0737</c:v>
                </c:pt>
              </c:numCache>
            </c:numRef>
          </c:yVal>
          <c:smooth val="0"/>
        </c:ser>
        <c:ser>
          <c:idx val="1"/>
          <c:order val="1"/>
          <c:tx>
            <c:strRef>
              <c:f>"CPI Inflation (annual avg, YoY)"</c:f>
              <c:strCache>
                <c:ptCount val="1"/>
                <c:pt idx="0">
                  <c:v>CPI Inflation (annual avg, YoY)</c:v>
                </c:pt>
              </c:strCache>
            </c:strRef>
          </c:tx>
          <c:spPr>
            <a:solidFill>
              <a:srgbClr val="c08a00"/>
            </a:solidFill>
            <a:ln w="28440">
              <a:solidFill>
                <a:srgbClr val="c08a00"/>
              </a:solidFill>
              <a:round/>
            </a:ln>
          </c:spPr>
          <c:marker>
            <c:symbol val="diamond"/>
            <c:size val="5"/>
            <c:spPr>
              <a:solidFill>
                <a:srgbClr val="c08a00"/>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'Composite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'Composite vs Market'!$S$4:$S$13</c:f>
              <c:numCache>
                <c:formatCode>0.00%</c:formatCode>
                <c:ptCount val="10"/>
                <c:pt idx="0">
                  <c:v>0.0126707791495431</c:v>
                </c:pt>
                <c:pt idx="1">
                  <c:v>0.0213162225786963</c:v>
                </c:pt>
                <c:pt idx="2">
                  <c:v>0.0243920349541655</c:v>
                </c:pt>
                <c:pt idx="3">
                  <c:v>0.0181322182397452</c:v>
                </c:pt>
                <c:pt idx="4">
                  <c:v>0.0125287010127009</c:v>
                </c:pt>
                <c:pt idx="5">
                  <c:v>0.0468098093148315</c:v>
                </c:pt>
                <c:pt idx="6">
                  <c:v>0.0799083303502561</c:v>
                </c:pt>
                <c:pt idx="7">
                  <c:v>0.0412711105643382</c:v>
                </c:pt>
                <c:pt idx="8">
                  <c:v>0.0295205495187116</c:v>
                </c:pt>
                <c:pt idx="9">
                  <c:v>0.0263438083762091</c:v>
                </c:pt>
              </c:numCache>
            </c:numRef>
          </c:yVal>
          <c:smooth val="0"/>
        </c:ser>
        <c:axId val="82940144"/>
        <c:axId val="55880629"/>
      </c:scatterChart>
      <c:valAx>
        <c:axId val="82940144"/>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55880629"/>
        <c:crosses val="autoZero"/>
        <c:crossBetween val="midCat"/>
        <c:majorUnit val="1"/>
      </c:valAx>
      <c:valAx>
        <c:axId val="55880629"/>
        <c:scaling>
          <c:orientation val="minMax"/>
        </c:scaling>
        <c:delete val="0"/>
        <c:axPos val="l"/>
        <c:majorGridlines>
          <c:spPr>
            <a:ln w="0">
              <a:solidFill>
                <a:srgbClr val="b3b3b3"/>
              </a:solidFill>
            </a:ln>
          </c:spPr>
        </c:majorGridlines>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82940144"/>
        <c:crosses val="autoZero"/>
        <c:crossBetween val="midCat"/>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42.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Valuation: Gross NOI Multiple (2016-2025)
Composite figures are aggregate, not per share; shares outstanding grew 0.3% per year on average (3% cumulative, 2016-2025).</a:t>
            </a:r>
          </a:p>
        </c:rich>
      </c:tx>
      <c:overlay val="0"/>
      <c:spPr>
        <a:noFill/>
        <a:ln w="0">
          <a:noFill/>
        </a:ln>
      </c:spPr>
    </c:title>
    <c:autoTitleDeleted val="0"/>
    <c:plotArea>
      <c:layout>
        <c:manualLayout>
          <c:layoutTarget val="inner"/>
          <c:xMode val="edge"/>
          <c:yMode val="edge"/>
          <c:x val="0.100043050634169"/>
          <c:y val="0.16016016016016"/>
          <c:w val="0.799450276517535"/>
          <c:h val="0.61961961961962"/>
        </c:manualLayout>
      </c:layout>
      <c:scatterChart>
        <c:scatterStyle val="lineMarker"/>
        <c:varyColors val="0"/>
        <c:ser>
          <c:idx val="0"/>
          <c:order val="0"/>
          <c:tx>
            <c:strRef>
              <c:f>"Gross NOI Multiple (x)"</c:f>
              <c:strCache>
                <c:ptCount val="1"/>
                <c:pt idx="0">
                  <c:v>Gross NOI Multiple (x)</c:v>
                </c:pt>
              </c:strCache>
            </c:strRef>
          </c:tx>
          <c:spPr>
            <a:solidFill>
              <a:srgbClr val="a31f34"/>
            </a:solidFill>
            <a:ln w="28440">
              <a:solidFill>
                <a:srgbClr val="a31f34"/>
              </a:solidFill>
              <a:round/>
            </a:ln>
          </c:spPr>
          <c:marker>
            <c:symbol val="square"/>
            <c:size val="5"/>
            <c:spPr>
              <a:solidFill>
                <a:srgbClr val="a31f34"/>
              </a:solidFill>
            </c:spPr>
          </c:marker>
          <c:dPt>
            <c:idx val="0"/>
            <c:marker>
              <c:symbol val="square"/>
              <c:size val="5"/>
              <c:spPr>
                <a:solidFill>
                  <a:srgbClr val="a31f34"/>
                </a:solidFill>
              </c:spPr>
            </c:marker>
          </c:dPt>
          <c:dPt>
            <c:idx val="1"/>
            <c:marker>
              <c:symbol val="square"/>
              <c:size val="5"/>
              <c:spPr>
                <a:solidFill>
                  <a:srgbClr val="a31f34"/>
                </a:solidFill>
              </c:spPr>
            </c:marker>
          </c:dPt>
          <c:dPt>
            <c:idx val="2"/>
            <c:marker>
              <c:symbol val="square"/>
              <c:size val="5"/>
              <c:spPr>
                <a:solidFill>
                  <a:srgbClr val="a31f34"/>
                </a:solidFill>
              </c:spPr>
            </c:marker>
          </c:dPt>
          <c:dPt>
            <c:idx val="3"/>
            <c:marker>
              <c:symbol val="square"/>
              <c:size val="5"/>
              <c:spPr>
                <a:solidFill>
                  <a:srgbClr val="a31f34"/>
                </a:solidFill>
              </c:spPr>
            </c:marker>
          </c:dPt>
          <c:dPt>
            <c:idx val="4"/>
            <c:marker>
              <c:symbol val="square"/>
              <c:size val="5"/>
              <c:spPr>
                <a:solidFill>
                  <a:srgbClr val="a31f34"/>
                </a:solidFill>
              </c:spPr>
            </c:marker>
          </c:dPt>
          <c:dPt>
            <c:idx val="5"/>
            <c:marker>
              <c:symbol val="square"/>
              <c:size val="5"/>
              <c:spPr>
                <a:solidFill>
                  <a:srgbClr val="a31f34"/>
                </a:solidFill>
              </c:spPr>
            </c:marker>
          </c:dPt>
          <c:dPt>
            <c:idx val="6"/>
            <c:marker>
              <c:symbol val="square"/>
              <c:size val="5"/>
              <c:spPr>
                <a:solidFill>
                  <a:srgbClr val="a31f34"/>
                </a:solidFill>
              </c:spPr>
            </c:marker>
          </c:dPt>
          <c:dPt>
            <c:idx val="7"/>
            <c:marker>
              <c:symbol val="square"/>
              <c:size val="5"/>
              <c:spPr>
                <a:solidFill>
                  <a:srgbClr val="a31f34"/>
                </a:solidFill>
              </c:spPr>
            </c:marker>
          </c:dPt>
          <c:dPt>
            <c:idx val="8"/>
            <c:marker>
              <c:symbol val="square"/>
              <c:size val="5"/>
              <c:spPr>
                <a:solidFill>
                  <a:srgbClr val="a31f34"/>
                </a:solidFill>
              </c:spPr>
            </c:marker>
          </c:dPt>
          <c:dPt>
            <c:idx val="9"/>
            <c:marker>
              <c:symbol val="square"/>
              <c:size val="5"/>
              <c:spPr>
                <a:solidFill>
                  <a:srgbClr val="a31f34"/>
                </a:solidFill>
              </c:spPr>
            </c:marker>
          </c:dPt>
          <c:dLbls>
            <c:dLbl>
              <c:idx val="0"/>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1"/>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2"/>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3"/>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4"/>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5"/>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6"/>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7"/>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8"/>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9"/>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'Composite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'Composite vs Market'!$J$4:$J$13</c:f>
              <c:numCache>
                <c:formatCode>0.0</c:formatCode>
                <c:ptCount val="10"/>
                <c:pt idx="0">
                  <c:v>20.809313703681</c:v>
                </c:pt>
                <c:pt idx="1">
                  <c:v>19.570370443963</c:v>
                </c:pt>
                <c:pt idx="2">
                  <c:v>18.196154970903</c:v>
                </c:pt>
                <c:pt idx="3">
                  <c:v>20.9889186429724</c:v>
                </c:pt>
                <c:pt idx="4">
                  <c:v>18.7336664622544</c:v>
                </c:pt>
                <c:pt idx="5">
                  <c:v>28.4275364555957</c:v>
                </c:pt>
                <c:pt idx="6">
                  <c:v>17.0061662452942</c:v>
                </c:pt>
                <c:pt idx="7">
                  <c:v>16.3344462468151</c:v>
                </c:pt>
                <c:pt idx="8">
                  <c:v>18.2681180285244</c:v>
                </c:pt>
                <c:pt idx="9">
                  <c:v>16.1261110228644</c:v>
                </c:pt>
              </c:numCache>
            </c:numRef>
          </c:yVal>
          <c:smooth val="0"/>
        </c:ser>
        <c:axId val="73700000"/>
        <c:axId val="24627292"/>
      </c:scatterChart>
      <c:valAx>
        <c:axId val="73700000"/>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24627292"/>
        <c:crosses val="autoZero"/>
        <c:crossBetween val="midCat"/>
        <c:majorUnit val="1"/>
      </c:valAx>
      <c:valAx>
        <c:axId val="24627292"/>
        <c:scaling>
          <c:orientation val="minMax"/>
        </c:scaling>
        <c:delete val="0"/>
        <c:axPos val="l"/>
        <c:majorGridlines>
          <c:spPr>
            <a:ln w="0">
              <a:solidFill>
                <a:srgbClr val="b3b3b3"/>
              </a:solidFill>
            </a:ln>
          </c:spPr>
        </c:majorGridlines>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73700000"/>
        <c:crosses val="autoZero"/>
        <c:crossBetween val="midCat"/>
      </c:valAx>
      <c:spPr>
        <a:noFill/>
        <a:ln w="0">
          <a:noFill/>
        </a:ln>
      </c:spPr>
    </c:plotArea>
    <c:plotVisOnly val="1"/>
    <c:dispBlanksAs val="gap"/>
  </c:chart>
  <c:spPr>
    <a:solidFill>
      <a:srgbClr val="ffffff"/>
    </a:solidFill>
    <a:ln w="9360">
      <a:solidFill>
        <a:srgbClr val="d9d9d9"/>
      </a:solidFill>
      <a:round/>
    </a:ln>
  </c:spPr>
</c:chartSpace>
</file>

<file path=xl/charts/chart43.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800" spc="-1" strike="noStrike">
                <a:solidFill>
                  <a:srgbClr val="000000"/>
                </a:solidFill>
                <a:latin typeface="Calibri"/>
              </a:defRPr>
            </a:pPr>
            <a:r>
              <a:rPr b="1" lang="en-US" sz="1800" spc="-1" strike="noStrike">
                <a:solidFill>
                  <a:srgbClr val="000000"/>
                </a:solidFill>
                <a:latin typeface="Calibri"/>
              </a:rPr>
              <a:t>Composite Stabilized Implied Cap Rate vs. 10-Yr UST, with Spread (2016-2025)</a:t>
            </a:r>
          </a:p>
        </c:rich>
      </c:tx>
      <c:overlay val="0"/>
      <c:spPr>
        <a:noFill/>
        <a:ln w="0">
          <a:noFill/>
        </a:ln>
      </c:spPr>
    </c:title>
    <c:autoTitleDeleted val="0"/>
    <c:plotArea>
      <c:layout>
        <c:manualLayout>
          <c:layoutTarget val="inner"/>
          <c:xMode val="edge"/>
          <c:yMode val="edge"/>
          <c:x val="0.100043050634169"/>
          <c:y val="0.14014014014014"/>
          <c:w val="0.799450276517535"/>
          <c:h val="0.67967967967968"/>
        </c:manualLayout>
      </c:layout>
      <c:barChart>
        <c:barDir val="col"/>
        <c:grouping val="clustered"/>
        <c:varyColors val="0"/>
        <c:ser>
          <c:idx val="0"/>
          <c:order val="0"/>
          <c:tx>
            <c:strRef>
              <c:f>'Composite vs Market'!$D$3</c:f>
              <c:strCache>
                <c:ptCount val="1"/>
                <c:pt idx="0">
                  <c:v>Spread: Cap Rate less UST (pp)</c:v>
                </c:pt>
              </c:strCache>
            </c:strRef>
          </c:tx>
          <c:spPr>
            <a:solidFill>
              <a:srgbClr val="d9a0a8"/>
            </a:solidFill>
            <a:ln w="0">
              <a:solidFill>
                <a:srgbClr val="b87b85"/>
              </a:solidFill>
            </a:ln>
          </c:spPr>
          <c:invertIfNegative val="0"/>
          <c:dLbls>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'Composite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'Composite vs Market'!$D$4:$D$13</c:f>
              <c:numCache>
                <c:formatCode>0.00%</c:formatCode>
                <c:ptCount val="10"/>
                <c:pt idx="0">
                  <c:v>0.0235554051056047</c:v>
                </c:pt>
                <c:pt idx="1">
                  <c:v>0.0270976531008118</c:v>
                </c:pt>
                <c:pt idx="2">
                  <c:v>0.0280566653833778</c:v>
                </c:pt>
                <c:pt idx="3">
                  <c:v>0.0284441886792879</c:v>
                </c:pt>
                <c:pt idx="4">
                  <c:v>0.0440798336815089</c:v>
                </c:pt>
                <c:pt idx="5">
                  <c:v>0.0199771600596491</c:v>
                </c:pt>
                <c:pt idx="6">
                  <c:v>0.0200022006592292</c:v>
                </c:pt>
                <c:pt idx="7">
                  <c:v>0.0224203183927941</c:v>
                </c:pt>
                <c:pt idx="8">
                  <c:v>0.00894017621511806</c:v>
                </c:pt>
                <c:pt idx="9">
                  <c:v>0.020211231262277</c:v>
                </c:pt>
              </c:numCache>
            </c:numRef>
          </c:val>
        </c:ser>
        <c:gapWidth val="80"/>
        <c:overlap val="0"/>
        <c:axId val="26143542"/>
        <c:axId val="86221529"/>
      </c:barChart>
      <c:lineChart>
        <c:grouping val="standard"/>
        <c:varyColors val="0"/>
        <c:ser>
          <c:idx val="1"/>
          <c:order val="1"/>
          <c:tx>
            <c:strRef>
              <c:f>'Composite vs Market'!$B$3</c:f>
              <c:strCache>
                <c:ptCount val="1"/>
                <c:pt idx="0">
                  <c:v>Composite Stabilized Implied Cap Rate (%)</c:v>
                </c:pt>
              </c:strCache>
            </c:strRef>
          </c:tx>
          <c:spPr>
            <a:solidFill>
              <a:srgbClr val="a31f34"/>
            </a:solidFill>
            <a:ln w="28080">
              <a:solidFill>
                <a:srgbClr val="a31f34"/>
              </a:solidFill>
              <a:round/>
            </a:ln>
          </c:spPr>
          <c:marker>
            <c:symbol val="circle"/>
            <c:size val="6"/>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'Composite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'Composite vs Market'!$B$4:$B$13</c:f>
              <c:numCache>
                <c:formatCode>0.00%</c:formatCode>
                <c:ptCount val="10"/>
                <c:pt idx="0">
                  <c:v>0.0480554051056047</c:v>
                </c:pt>
                <c:pt idx="1">
                  <c:v>0.0510976531008118</c:v>
                </c:pt>
                <c:pt idx="2">
                  <c:v>0.0549566653833778</c:v>
                </c:pt>
                <c:pt idx="3">
                  <c:v>0.0476441886792879</c:v>
                </c:pt>
                <c:pt idx="4">
                  <c:v>0.053379833681509</c:v>
                </c:pt>
                <c:pt idx="5">
                  <c:v>0.0351771600596491</c:v>
                </c:pt>
                <c:pt idx="6">
                  <c:v>0.0588022006592292</c:v>
                </c:pt>
                <c:pt idx="7">
                  <c:v>0.0612203183927941</c:v>
                </c:pt>
                <c:pt idx="8">
                  <c:v>0.0547401762151181</c:v>
                </c:pt>
                <c:pt idx="9">
                  <c:v>0.062011231262277</c:v>
                </c:pt>
              </c:numCache>
            </c:numRef>
          </c:val>
          <c:smooth val="0"/>
        </c:ser>
        <c:ser>
          <c:idx val="2"/>
          <c:order val="2"/>
          <c:tx>
            <c:strRef>
              <c:f>'Composite vs Market'!$C$3</c:f>
              <c:strCache>
                <c:ptCount val="1"/>
                <c:pt idx="0">
                  <c:v>10-Yr UST Yield (%)</c:v>
                </c:pt>
              </c:strCache>
            </c:strRef>
          </c:tx>
          <c:spPr>
            <a:solidFill>
              <a:srgbClr val="3a3a3a"/>
            </a:solidFill>
            <a:ln w="28080">
              <a:solidFill>
                <a:srgbClr val="3a3a3a"/>
              </a:solidFill>
              <a:round/>
            </a:ln>
          </c:spPr>
          <c:marker>
            <c:symbol val="circle"/>
            <c:size val="6"/>
            <c:spPr>
              <a:solidFill>
                <a:srgbClr val="3a3a3a"/>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'Composite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'Composite vs Market'!$C$4:$C$13</c:f>
              <c:numCache>
                <c:formatCode>0.00%</c:formatCode>
                <c:ptCount val="10"/>
                <c:pt idx="0">
                  <c:v>0.0245</c:v>
                </c:pt>
                <c:pt idx="1">
                  <c:v>0.024</c:v>
                </c:pt>
                <c:pt idx="2">
                  <c:v>0.0269</c:v>
                </c:pt>
                <c:pt idx="3">
                  <c:v>0.0192</c:v>
                </c:pt>
                <c:pt idx="4">
                  <c:v>0.0093</c:v>
                </c:pt>
                <c:pt idx="5">
                  <c:v>0.0152</c:v>
                </c:pt>
                <c:pt idx="6">
                  <c:v>0.0388</c:v>
                </c:pt>
                <c:pt idx="7">
                  <c:v>0.0388</c:v>
                </c:pt>
                <c:pt idx="8">
                  <c:v>0.0458</c:v>
                </c:pt>
                <c:pt idx="9">
                  <c:v>0.0418</c:v>
                </c:pt>
              </c:numCache>
            </c:numRef>
          </c:val>
          <c:smooth val="0"/>
        </c:ser>
        <c:hiLowLines>
          <c:spPr>
            <a:ln w="0">
              <a:noFill/>
            </a:ln>
          </c:spPr>
        </c:hiLowLines>
        <c:marker val="1"/>
        <c:axId val="84053396"/>
        <c:axId val="82995669"/>
      </c:lineChart>
      <c:catAx>
        <c:axId val="26143542"/>
        <c:scaling>
          <c:orientation val="minMax"/>
        </c:scaling>
        <c:delete val="0"/>
        <c:axPos val="b"/>
        <c:numFmt formatCode="General"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86221529"/>
        <c:crosses val="autoZero"/>
        <c:auto val="1"/>
        <c:lblAlgn val="ctr"/>
        <c:lblOffset val="100"/>
        <c:noMultiLvlLbl val="0"/>
      </c:catAx>
      <c:valAx>
        <c:axId val="86221529"/>
        <c:scaling>
          <c:orientation val="minMax"/>
        </c:scaling>
        <c:delete val="0"/>
        <c:axPos val="l"/>
        <c:majorGridlines>
          <c:spPr>
            <a:ln w="0">
              <a:solidFill>
                <a:srgbClr val="b3b3b3"/>
              </a:solidFill>
            </a:ln>
          </c:spPr>
        </c:majorGridlines>
        <c:title>
          <c:tx>
            <c:rich>
              <a:bodyPr rot="-5400000"/>
              <a:lstStyle/>
              <a:p>
                <a:pPr>
                  <a:defRPr b="1" lang="en-US" sz="1000" spc="-1" strike="noStrike">
                    <a:solidFill>
                      <a:srgbClr val="000000"/>
                    </a:solidFill>
                    <a:latin typeface="Calibri"/>
                  </a:defRPr>
                </a:pPr>
                <a:r>
                  <a:rPr b="1" lang="en-US" sz="1000" spc="-1" strike="noStrike">
                    <a:solidFill>
                      <a:srgbClr val="000000"/>
                    </a:solidFill>
                    <a:latin typeface="Calibri"/>
                  </a:rPr>
                  <a:t>Spread (pct pts)</a:t>
                </a:r>
              </a:p>
            </c:rich>
          </c:tx>
          <c:overlay val="0"/>
          <c:spPr>
            <a:noFill/>
            <a:ln w="0">
              <a:noFill/>
            </a:ln>
          </c:spPr>
        </c:title>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26143542"/>
        <c:crosses val="autoZero"/>
        <c:crossBetween val="between"/>
      </c:valAx>
      <c:catAx>
        <c:axId val="84053396"/>
        <c:scaling>
          <c:orientation val="minMax"/>
        </c:scaling>
        <c:delete val="1"/>
        <c:axPos val="t"/>
        <c:numFmt formatCode="General" sourceLinked="1"/>
        <c:majorTickMark val="none"/>
        <c:minorTickMark val="none"/>
        <c:tickLblPos val="none"/>
        <c:spPr>
          <a:ln w="0">
            <a:solidFill>
              <a:srgbClr val="b3b3b3"/>
            </a:solidFill>
          </a:ln>
        </c:spPr>
        <c:txPr>
          <a:bodyPr/>
          <a:lstStyle/>
          <a:p>
            <a:pPr>
              <a:defRPr b="0" sz="1000" spc="-1" strike="noStrike">
                <a:solidFill>
                  <a:srgbClr val="000000"/>
                </a:solidFill>
                <a:latin typeface="Calibri"/>
              </a:defRPr>
            </a:pPr>
          </a:p>
        </c:txPr>
        <c:crossAx val="82995669"/>
        <c:auto val="1"/>
        <c:lblAlgn val="ctr"/>
        <c:lblOffset val="100"/>
        <c:noMultiLvlLbl val="0"/>
      </c:catAx>
      <c:valAx>
        <c:axId val="82995669"/>
        <c:scaling>
          <c:orientation val="minMax"/>
        </c:scaling>
        <c:delete val="0"/>
        <c:axPos val="r"/>
        <c:title>
          <c:tx>
            <c:rich>
              <a:bodyPr rot="-5400000"/>
              <a:lstStyle/>
              <a:p>
                <a:pPr>
                  <a:defRPr b="1" lang="en-US" sz="1000" spc="-1" strike="noStrike">
                    <a:solidFill>
                      <a:srgbClr val="000000"/>
                    </a:solidFill>
                    <a:latin typeface="Calibri"/>
                  </a:defRPr>
                </a:pPr>
                <a:r>
                  <a:rPr b="1" lang="en-US" sz="1000" spc="-1" strike="noStrike">
                    <a:solidFill>
                      <a:srgbClr val="000000"/>
                    </a:solidFill>
                    <a:latin typeface="Calibri"/>
                  </a:rPr>
                  <a:t>Yield (%)</a:t>
                </a:r>
              </a:p>
            </c:rich>
          </c:tx>
          <c:overlay val="0"/>
          <c:spPr>
            <a:noFill/>
            <a:ln w="0">
              <a:noFill/>
            </a:ln>
          </c:spPr>
        </c:title>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84053396"/>
        <c:crosses val="max"/>
        <c:crossBetween val="between"/>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44.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800" spc="-1" strike="noStrike">
                <a:solidFill>
                  <a:srgbClr val="000000"/>
                </a:solidFill>
                <a:latin typeface="Calibri"/>
              </a:defRPr>
            </a:pPr>
            <a:r>
              <a:rPr b="1" lang="en-US" sz="1800" spc="-1" strike="noStrike">
                <a:solidFill>
                  <a:srgbClr val="000000"/>
                </a:solidFill>
                <a:latin typeface="Calibri"/>
              </a:rPr>
              <a:t>Composite: Cap Rate vs. Leveraged Equity Yield (2016-2025)</a:t>
            </a:r>
          </a:p>
        </c:rich>
      </c:tx>
      <c:overlay val="0"/>
      <c:spPr>
        <a:noFill/>
        <a:ln w="0">
          <a:noFill/>
        </a:ln>
      </c:spPr>
    </c:title>
    <c:autoTitleDeleted val="0"/>
    <c:plotArea>
      <c:layout>
        <c:manualLayout>
          <c:layoutTarget val="inner"/>
          <c:xMode val="edge"/>
          <c:yMode val="edge"/>
          <c:x val="0.100043050634169"/>
          <c:y val="0.14014014014014"/>
          <c:w val="0.799450276517535"/>
          <c:h val="0.67967967967968"/>
        </c:manualLayout>
      </c:layout>
      <c:barChart>
        <c:barDir val="col"/>
        <c:grouping val="clustered"/>
        <c:varyColors val="0"/>
        <c:ser>
          <c:idx val="0"/>
          <c:order val="0"/>
          <c:tx>
            <c:strRef>
              <c:f>'Composite vs Market'!$F$3</c:f>
              <c:strCache>
                <c:ptCount val="1"/>
                <c:pt idx="0">
                  <c:v>Leverage Contribution: Lev Yield less Cap Rate (pp)</c:v>
                </c:pt>
              </c:strCache>
            </c:strRef>
          </c:tx>
          <c:spPr>
            <a:solidFill>
              <a:srgbClr val="9dbb9d"/>
            </a:solidFill>
            <a:ln w="0">
              <a:solidFill>
                <a:srgbClr val="7a9a7a"/>
              </a:solidFill>
            </a:ln>
          </c:spPr>
          <c:invertIfNegative val="0"/>
          <c:dLbls>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'Composite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'Composite vs Market'!$F$4:$F$13</c:f>
              <c:numCache>
                <c:formatCode>0.00%</c:formatCode>
                <c:ptCount val="10"/>
                <c:pt idx="0">
                  <c:v>0.0067006150210388</c:v>
                </c:pt>
                <c:pt idx="1">
                  <c:v>0.00693219604357298</c:v>
                </c:pt>
                <c:pt idx="2">
                  <c:v>0.00714694439583632</c:v>
                </c:pt>
                <c:pt idx="3">
                  <c:v>0.0043808524029772</c:v>
                </c:pt>
                <c:pt idx="4">
                  <c:v>0.00782417913387459</c:v>
                </c:pt>
                <c:pt idx="5">
                  <c:v>0.00116711040916514</c:v>
                </c:pt>
                <c:pt idx="6">
                  <c:v>0.00952627465238497</c:v>
                </c:pt>
                <c:pt idx="7">
                  <c:v>0.0102936157010995</c:v>
                </c:pt>
                <c:pt idx="8">
                  <c:v>0.00661954702229463</c:v>
                </c:pt>
                <c:pt idx="9">
                  <c:v>0.0117244785399852</c:v>
                </c:pt>
              </c:numCache>
            </c:numRef>
          </c:val>
        </c:ser>
        <c:gapWidth val="80"/>
        <c:overlap val="0"/>
        <c:axId val="80544975"/>
        <c:axId val="38422734"/>
      </c:barChart>
      <c:lineChart>
        <c:grouping val="standard"/>
        <c:varyColors val="0"/>
        <c:ser>
          <c:idx val="1"/>
          <c:order val="1"/>
          <c:tx>
            <c:strRef>
              <c:f>'Composite vs Market'!$B$3</c:f>
              <c:strCache>
                <c:ptCount val="1"/>
                <c:pt idx="0">
                  <c:v>Composite Stabilized Implied Cap Rate (%)</c:v>
                </c:pt>
              </c:strCache>
            </c:strRef>
          </c:tx>
          <c:spPr>
            <a:solidFill>
              <a:srgbClr val="a31f34"/>
            </a:solidFill>
            <a:ln w="28080">
              <a:solidFill>
                <a:srgbClr val="a31f34"/>
              </a:solidFill>
              <a:round/>
            </a:ln>
          </c:spPr>
          <c:marker>
            <c:symbol val="circle"/>
            <c:size val="6"/>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'Composite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'Composite vs Market'!$B$4:$B$13</c:f>
              <c:numCache>
                <c:formatCode>0.00%</c:formatCode>
                <c:ptCount val="10"/>
                <c:pt idx="0">
                  <c:v>0.0480554051056047</c:v>
                </c:pt>
                <c:pt idx="1">
                  <c:v>0.0510976531008118</c:v>
                </c:pt>
                <c:pt idx="2">
                  <c:v>0.0549566653833778</c:v>
                </c:pt>
                <c:pt idx="3">
                  <c:v>0.0476441886792879</c:v>
                </c:pt>
                <c:pt idx="4">
                  <c:v>0.053379833681509</c:v>
                </c:pt>
                <c:pt idx="5">
                  <c:v>0.0351771600596491</c:v>
                </c:pt>
                <c:pt idx="6">
                  <c:v>0.0588022006592292</c:v>
                </c:pt>
                <c:pt idx="7">
                  <c:v>0.0612203183927941</c:v>
                </c:pt>
                <c:pt idx="8">
                  <c:v>0.0547401762151181</c:v>
                </c:pt>
                <c:pt idx="9">
                  <c:v>0.062011231262277</c:v>
                </c:pt>
              </c:numCache>
            </c:numRef>
          </c:val>
          <c:smooth val="0"/>
        </c:ser>
        <c:ser>
          <c:idx val="2"/>
          <c:order val="2"/>
          <c:tx>
            <c:strRef>
              <c:f>'Composite vs Market'!$E$3</c:f>
              <c:strCache>
                <c:ptCount val="1"/>
                <c:pt idx="0">
                  <c:v>Composite Stabilized Leveraged Equity Yield (%)</c:v>
                </c:pt>
              </c:strCache>
            </c:strRef>
          </c:tx>
          <c:spPr>
            <a:solidFill>
              <a:srgbClr val="3a3a3a"/>
            </a:solidFill>
            <a:ln w="28080">
              <a:solidFill>
                <a:srgbClr val="3a3a3a"/>
              </a:solidFill>
              <a:round/>
            </a:ln>
          </c:spPr>
          <c:marker>
            <c:symbol val="circle"/>
            <c:size val="6"/>
            <c:spPr>
              <a:solidFill>
                <a:srgbClr val="3a3a3a"/>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'Composite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'Composite vs Market'!$E$4:$E$13</c:f>
              <c:numCache>
                <c:formatCode>0.00%</c:formatCode>
                <c:ptCount val="10"/>
                <c:pt idx="0">
                  <c:v>0.0547560201266435</c:v>
                </c:pt>
                <c:pt idx="1">
                  <c:v>0.0580298491443848</c:v>
                </c:pt>
                <c:pt idx="2">
                  <c:v>0.0621036097792141</c:v>
                </c:pt>
                <c:pt idx="3">
                  <c:v>0.0520250410822651</c:v>
                </c:pt>
                <c:pt idx="4">
                  <c:v>0.0612040128153835</c:v>
                </c:pt>
                <c:pt idx="5">
                  <c:v>0.0363442704688143</c:v>
                </c:pt>
                <c:pt idx="6">
                  <c:v>0.0683284753116141</c:v>
                </c:pt>
                <c:pt idx="7">
                  <c:v>0.0715139340938936</c:v>
                </c:pt>
                <c:pt idx="8">
                  <c:v>0.0613597232374127</c:v>
                </c:pt>
                <c:pt idx="9">
                  <c:v>0.0737357098022622</c:v>
                </c:pt>
              </c:numCache>
            </c:numRef>
          </c:val>
          <c:smooth val="0"/>
        </c:ser>
        <c:hiLowLines>
          <c:spPr>
            <a:ln w="0">
              <a:noFill/>
            </a:ln>
          </c:spPr>
        </c:hiLowLines>
        <c:marker val="1"/>
        <c:axId val="62103574"/>
        <c:axId val="97663944"/>
      </c:lineChart>
      <c:catAx>
        <c:axId val="80544975"/>
        <c:scaling>
          <c:orientation val="minMax"/>
        </c:scaling>
        <c:delete val="0"/>
        <c:axPos val="b"/>
        <c:numFmt formatCode="General"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38422734"/>
        <c:crosses val="autoZero"/>
        <c:auto val="1"/>
        <c:lblAlgn val="ctr"/>
        <c:lblOffset val="100"/>
        <c:noMultiLvlLbl val="0"/>
      </c:catAx>
      <c:valAx>
        <c:axId val="38422734"/>
        <c:scaling>
          <c:orientation val="minMax"/>
        </c:scaling>
        <c:delete val="0"/>
        <c:axPos val="l"/>
        <c:majorGridlines>
          <c:spPr>
            <a:ln w="0">
              <a:solidFill>
                <a:srgbClr val="b3b3b3"/>
              </a:solidFill>
            </a:ln>
          </c:spPr>
        </c:majorGridlines>
        <c:title>
          <c:tx>
            <c:rich>
              <a:bodyPr rot="-5400000"/>
              <a:lstStyle/>
              <a:p>
                <a:pPr>
                  <a:defRPr b="1" lang="en-US" sz="1000" spc="-1" strike="noStrike">
                    <a:solidFill>
                      <a:srgbClr val="000000"/>
                    </a:solidFill>
                    <a:latin typeface="Calibri"/>
                  </a:defRPr>
                </a:pPr>
                <a:r>
                  <a:rPr b="1" lang="en-US" sz="1000" spc="-1" strike="noStrike">
                    <a:solidFill>
                      <a:srgbClr val="000000"/>
                    </a:solidFill>
                    <a:latin typeface="Calibri"/>
                  </a:rPr>
                  <a:t>Leverage contribution (pct pts)</a:t>
                </a:r>
              </a:p>
            </c:rich>
          </c:tx>
          <c:overlay val="0"/>
          <c:spPr>
            <a:noFill/>
            <a:ln w="0">
              <a:noFill/>
            </a:ln>
          </c:spPr>
        </c:title>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80544975"/>
        <c:crosses val="autoZero"/>
        <c:crossBetween val="between"/>
      </c:valAx>
      <c:catAx>
        <c:axId val="62103574"/>
        <c:scaling>
          <c:orientation val="minMax"/>
        </c:scaling>
        <c:delete val="1"/>
        <c:axPos val="t"/>
        <c:numFmt formatCode="General" sourceLinked="1"/>
        <c:majorTickMark val="none"/>
        <c:minorTickMark val="none"/>
        <c:tickLblPos val="none"/>
        <c:spPr>
          <a:ln w="0">
            <a:solidFill>
              <a:srgbClr val="b3b3b3"/>
            </a:solidFill>
          </a:ln>
        </c:spPr>
        <c:txPr>
          <a:bodyPr/>
          <a:lstStyle/>
          <a:p>
            <a:pPr>
              <a:defRPr b="0" sz="1000" spc="-1" strike="noStrike">
                <a:solidFill>
                  <a:srgbClr val="000000"/>
                </a:solidFill>
                <a:latin typeface="Calibri"/>
              </a:defRPr>
            </a:pPr>
          </a:p>
        </c:txPr>
        <c:crossAx val="97663944"/>
        <c:auto val="1"/>
        <c:lblAlgn val="ctr"/>
        <c:lblOffset val="100"/>
        <c:noMultiLvlLbl val="0"/>
      </c:catAx>
      <c:valAx>
        <c:axId val="97663944"/>
        <c:scaling>
          <c:orientation val="minMax"/>
        </c:scaling>
        <c:delete val="0"/>
        <c:axPos val="r"/>
        <c:title>
          <c:tx>
            <c:rich>
              <a:bodyPr rot="-5400000"/>
              <a:lstStyle/>
              <a:p>
                <a:pPr>
                  <a:defRPr b="1" lang="en-US" sz="1000" spc="-1" strike="noStrike">
                    <a:solidFill>
                      <a:srgbClr val="000000"/>
                    </a:solidFill>
                    <a:latin typeface="Calibri"/>
                  </a:defRPr>
                </a:pPr>
                <a:r>
                  <a:rPr b="1" lang="en-US" sz="1000" spc="-1" strike="noStrike">
                    <a:solidFill>
                      <a:srgbClr val="000000"/>
                    </a:solidFill>
                    <a:latin typeface="Calibri"/>
                  </a:rPr>
                  <a:t>Yield (%)</a:t>
                </a:r>
              </a:p>
            </c:rich>
          </c:tx>
          <c:overlay val="0"/>
          <c:spPr>
            <a:noFill/>
            <a:ln w="0">
              <a:noFill/>
            </a:ln>
          </c:spPr>
        </c:title>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62103574"/>
        <c:crosses val="max"/>
        <c:crossBetween val="between"/>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45.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Annual NOI (labeled YoY growth) and Stabilized TEV: Gross NOI Multiple (2016-2025)</a:t>
            </a:r>
          </a:p>
        </c:rich>
      </c:tx>
      <c:overlay val="0"/>
      <c:spPr>
        <a:noFill/>
        <a:ln w="0">
          <a:noFill/>
        </a:ln>
      </c:spPr>
    </c:title>
    <c:autoTitleDeleted val="0"/>
    <c:plotArea>
      <c:layout>
        <c:manualLayout>
          <c:layoutTarget val="inner"/>
          <c:xMode val="edge"/>
          <c:yMode val="edge"/>
          <c:x val="0.0900420571579958"/>
          <c:y val="0.2002002002002"/>
          <c:w val="0.819485379342319"/>
          <c:h val="0.55955955955956"/>
        </c:manualLayout>
      </c:layout>
      <c:barChart>
        <c:barDir val="col"/>
        <c:grouping val="stacked"/>
        <c:varyColors val="0"/>
        <c:ser>
          <c:idx val="0"/>
          <c:order val="0"/>
          <c:tx>
            <c:strRef>
              <c:f>"Annual NOI ($M)"</c:f>
              <c:strCache>
                <c:ptCount val="1"/>
                <c:pt idx="0">
                  <c:v>Annual NOI ($M)</c:v>
                </c:pt>
              </c:strCache>
            </c:strRef>
          </c:tx>
          <c:spPr>
            <a:solidFill>
              <a:srgbClr val="a31f34"/>
            </a:solidFill>
            <a:ln w="0">
              <a:noFill/>
            </a:ln>
          </c:spPr>
          <c:invertIfNegative val="0"/>
          <c:dPt>
            <c:idx val="1"/>
            <c:invertIfNegative val="0"/>
            <c:spPr>
              <a:solidFill>
                <a:srgbClr val="a31f34"/>
              </a:solidFill>
              <a:ln w="0">
                <a:noFill/>
              </a:ln>
            </c:spPr>
          </c:dPt>
          <c:dPt>
            <c:idx val="2"/>
            <c:invertIfNegative val="0"/>
            <c:spPr>
              <a:solidFill>
                <a:srgbClr val="a31f34"/>
              </a:solidFill>
              <a:ln w="0">
                <a:noFill/>
              </a:ln>
            </c:spPr>
          </c:dPt>
          <c:dPt>
            <c:idx val="3"/>
            <c:invertIfNegative val="0"/>
            <c:spPr>
              <a:solidFill>
                <a:srgbClr val="a31f34"/>
              </a:solidFill>
              <a:ln w="0">
                <a:noFill/>
              </a:ln>
            </c:spPr>
          </c:dPt>
          <c:dPt>
            <c:idx val="4"/>
            <c:invertIfNegative val="0"/>
            <c:spPr>
              <a:solidFill>
                <a:srgbClr val="a31f34"/>
              </a:solidFill>
              <a:ln w="0">
                <a:noFill/>
              </a:ln>
            </c:spPr>
          </c:dPt>
          <c:dPt>
            <c:idx val="5"/>
            <c:invertIfNegative val="0"/>
            <c:spPr>
              <a:solidFill>
                <a:srgbClr val="a31f34"/>
              </a:solidFill>
              <a:ln w="0">
                <a:noFill/>
              </a:ln>
            </c:spPr>
          </c:dPt>
          <c:dPt>
            <c:idx val="6"/>
            <c:invertIfNegative val="0"/>
            <c:spPr>
              <a:solidFill>
                <a:srgbClr val="a31f34"/>
              </a:solidFill>
              <a:ln w="0">
                <a:noFill/>
              </a:ln>
            </c:spPr>
          </c:dPt>
          <c:dPt>
            <c:idx val="7"/>
            <c:invertIfNegative val="0"/>
            <c:spPr>
              <a:solidFill>
                <a:srgbClr val="a31f34"/>
              </a:solidFill>
              <a:ln w="0">
                <a:noFill/>
              </a:ln>
            </c:spPr>
          </c:dPt>
          <c:dPt>
            <c:idx val="8"/>
            <c:invertIfNegative val="0"/>
            <c:spPr>
              <a:solidFill>
                <a:srgbClr val="a31f34"/>
              </a:solidFill>
              <a:ln w="0">
                <a:noFill/>
              </a:ln>
            </c:spPr>
          </c:dPt>
          <c:dPt>
            <c:idx val="9"/>
            <c:invertIfNegative val="0"/>
            <c:spPr>
              <a:solidFill>
                <a:srgbClr val="a31f34"/>
              </a:solidFill>
              <a:ln w="0">
                <a:noFill/>
              </a:ln>
            </c:spPr>
          </c:dPt>
          <c:dLbls>
            <c:dLbl>
              <c:idx val="1"/>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+10%</a:t>
                    </a:r>
                  </a:p>
                </c:rich>
              </c:tx>
              <c:dLblPos val="inEnd"/>
              <c:showLegendKey val="0"/>
              <c:showVal val="0"/>
              <c:showCatName val="0"/>
              <c:showSerName val="0"/>
              <c:showPercent val="0"/>
              <c:separator>; </c:separator>
            </c:dLbl>
            <c:dLbl>
              <c:idx val="2"/>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+3%</a:t>
                    </a:r>
                  </a:p>
                </c:rich>
              </c:tx>
              <c:dLblPos val="inEnd"/>
              <c:showLegendKey val="0"/>
              <c:showVal val="0"/>
              <c:showCatName val="0"/>
              <c:showSerName val="0"/>
              <c:showPercent val="0"/>
              <c:separator>; </c:separator>
            </c:dLbl>
            <c:dLbl>
              <c:idx val="3"/>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+6%</a:t>
                    </a:r>
                  </a:p>
                </c:rich>
              </c:tx>
              <c:dLblPos val="inEnd"/>
              <c:showLegendKey val="0"/>
              <c:showVal val="0"/>
              <c:showCatName val="0"/>
              <c:showSerName val="0"/>
              <c:showPercent val="0"/>
              <c:separator>; </c:separator>
            </c:dLbl>
            <c:dLbl>
              <c:idx val="4"/>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-6%</a:t>
                    </a:r>
                  </a:p>
                </c:rich>
              </c:tx>
              <c:dLblPos val="inEnd"/>
              <c:showLegendKey val="0"/>
              <c:showVal val="0"/>
              <c:showCatName val="0"/>
              <c:showSerName val="0"/>
              <c:showPercent val="0"/>
              <c:separator>; </c:separator>
            </c:dLbl>
            <c:dLbl>
              <c:idx val="5"/>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0%</a:t>
                    </a:r>
                  </a:p>
                </c:rich>
              </c:tx>
              <c:dLblPos val="inEnd"/>
              <c:showLegendKey val="0"/>
              <c:showVal val="0"/>
              <c:showCatName val="0"/>
              <c:showSerName val="0"/>
              <c:showPercent val="0"/>
              <c:separator>; </c:separator>
            </c:dLbl>
            <c:dLbl>
              <c:idx val="6"/>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+18%</a:t>
                    </a:r>
                  </a:p>
                </c:rich>
              </c:tx>
              <c:dLblPos val="inEnd"/>
              <c:showLegendKey val="0"/>
              <c:showVal val="0"/>
              <c:showCatName val="0"/>
              <c:showSerName val="0"/>
              <c:showPercent val="0"/>
              <c:separator>; </c:separator>
            </c:dLbl>
            <c:dLbl>
              <c:idx val="7"/>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+9%</a:t>
                    </a:r>
                  </a:p>
                </c:rich>
              </c:tx>
              <c:dLblPos val="inEnd"/>
              <c:showLegendKey val="0"/>
              <c:showVal val="0"/>
              <c:showCatName val="0"/>
              <c:showSerName val="0"/>
              <c:showPercent val="0"/>
              <c:separator>; </c:separator>
            </c:dLbl>
            <c:dLbl>
              <c:idx val="8"/>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+3%</a:t>
                    </a:r>
                  </a:p>
                </c:rich>
              </c:tx>
              <c:dLblPos val="inEnd"/>
              <c:showLegendKey val="0"/>
              <c:showVal val="0"/>
              <c:showCatName val="0"/>
              <c:showSerName val="0"/>
              <c:showPercent val="0"/>
              <c:separator>; </c:separator>
            </c:dLbl>
            <c:dLbl>
              <c:idx val="9"/>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+1%</a:t>
                    </a:r>
                  </a:p>
                </c:rich>
              </c:tx>
              <c:dLblPos val="inEnd"/>
              <c:showLegendKey val="0"/>
              <c:showVal val="0"/>
              <c:showCatName val="0"/>
              <c:showSerName val="0"/>
              <c:showPercent val="0"/>
              <c:separator>; </c:separator>
            </c:dLbl>
            <c:txPr>
              <a:bodyPr wrap="square"/>
              <a:lstStyle/>
              <a:p>
                <a:pPr>
                  <a:defRPr b="0" sz="1000" spc="-1" strike="noStrike">
                    <a:solidFill>
                      <a:srgbClr val="000000"/>
                    </a:solidFill>
                    <a:latin typeface="Calibri"/>
                  </a:defRPr>
                </a:pPr>
              </a:p>
            </c:txPr>
            <c:dLblPos val="ct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'Composite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'Composite vs Market'!$L$4:$L$13</c:f>
              <c:numCache>
                <c:formatCode>#,##0</c:formatCode>
                <c:ptCount val="10"/>
                <c:pt idx="0">
                  <c:v>1056.86335369464</c:v>
                </c:pt>
                <c:pt idx="1">
                  <c:v>1166.93744058576</c:v>
                </c:pt>
                <c:pt idx="2">
                  <c:v>1203.51944197578</c:v>
                </c:pt>
                <c:pt idx="3">
                  <c:v>1271.60546008899</c:v>
                </c:pt>
                <c:pt idx="4">
                  <c:v>1197.96462836029</c:v>
                </c:pt>
                <c:pt idx="5">
                  <c:v>1201.06717894722</c:v>
                </c:pt>
                <c:pt idx="6">
                  <c:v>1416.78204231254</c:v>
                </c:pt>
                <c:pt idx="7">
                  <c:v>1547.25989133161</c:v>
                </c:pt>
                <c:pt idx="8">
                  <c:v>1590.45932211514</c:v>
                </c:pt>
                <c:pt idx="9">
                  <c:v>1599.86478786863</c:v>
                </c:pt>
              </c:numCache>
            </c:numRef>
          </c:val>
        </c:ser>
        <c:ser>
          <c:idx val="1"/>
          <c:order val="1"/>
          <c:tx>
            <c:strRef>
              <c:f>"Stabilized TEV less NOI ($M)"</c:f>
              <c:strCache>
                <c:ptCount val="1"/>
                <c:pt idx="0">
                  <c:v>Stabilized TEV less NOI ($M)</c:v>
                </c:pt>
              </c:strCache>
            </c:strRef>
          </c:tx>
          <c:spPr>
            <a:solidFill>
              <a:srgbClr val="d9d9d9"/>
            </a:solidFill>
            <a:ln w="0">
              <a:noFill/>
            </a:ln>
          </c:spPr>
          <c:invertIfNegative val="0"/>
          <c:dLbls>
            <c:txPr>
              <a:bodyPr wrap="square"/>
              <a:lstStyle/>
              <a:p>
                <a:pPr>
                  <a:defRPr b="0" sz="1000" spc="-1" strike="noStrike">
                    <a:solidFill>
                      <a:srgbClr val="000000"/>
                    </a:solidFill>
                    <a:latin typeface="Calibri"/>
                  </a:defRPr>
                </a:pPr>
              </a:p>
            </c:txPr>
            <c:dLblPos val="ct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'Composite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'Composite vs Market'!$Q$4:$Q$13</c:f>
              <c:numCache>
                <c:formatCode>#,##0</c:formatCode>
                <c:ptCount val="10"/>
                <c:pt idx="0">
                  <c:v>20935.7377152615</c:v>
                </c:pt>
                <c:pt idx="1">
                  <c:v>21670.4605566076</c:v>
                </c:pt>
                <c:pt idx="2">
                  <c:v>20695.9068347102</c:v>
                </c:pt>
                <c:pt idx="3">
                  <c:v>25418.0180876783</c:v>
                </c:pt>
                <c:pt idx="4">
                  <c:v>21244.3051529199</c:v>
                </c:pt>
                <c:pt idx="5">
                  <c:v>32942.3138361943</c:v>
                </c:pt>
                <c:pt idx="6">
                  <c:v>22677.248902602</c:v>
                </c:pt>
                <c:pt idx="7">
                  <c:v>23726.3736334775</c:v>
                </c:pt>
                <c:pt idx="8">
                  <c:v>27464.2392938512</c:v>
                </c:pt>
                <c:pt idx="9">
                  <c:v>24199.7324028723</c:v>
                </c:pt>
              </c:numCache>
            </c:numRef>
          </c:val>
        </c:ser>
        <c:gapWidth val="150"/>
        <c:overlap val="100"/>
        <c:axId val="59981081"/>
        <c:axId val="94192883"/>
      </c:barChart>
      <c:lineChart>
        <c:grouping val="stacked"/>
        <c:varyColors val="0"/>
        <c:ser>
          <c:idx val="2"/>
          <c:order val="2"/>
          <c:tx>
            <c:strRef>
              <c:f>"Gross NOI Multiple (right)"</c:f>
              <c:strCache>
                <c:ptCount val="1"/>
                <c:pt idx="0">
                  <c:v>Gross NOI Multiple (right)</c:v>
                </c:pt>
              </c:strCache>
            </c:strRef>
          </c:tx>
          <c:spPr>
            <a:solidFill>
              <a:srgbClr val="1f3b57"/>
            </a:solidFill>
            <a:ln w="28440">
              <a:solidFill>
                <a:srgbClr val="1f3b57"/>
              </a:solidFill>
              <a:round/>
            </a:ln>
          </c:spPr>
          <c:marker>
            <c:symbol val="circle"/>
            <c:size val="5"/>
            <c:spPr>
              <a:solidFill>
                <a:srgbClr val="1f3b57"/>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'Composite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'Composite vs Market'!$J$4:$J$13</c:f>
              <c:numCache>
                <c:formatCode>0.0</c:formatCode>
                <c:ptCount val="10"/>
                <c:pt idx="0">
                  <c:v>20.809313703681</c:v>
                </c:pt>
                <c:pt idx="1">
                  <c:v>19.570370443963</c:v>
                </c:pt>
                <c:pt idx="2">
                  <c:v>18.196154970903</c:v>
                </c:pt>
                <c:pt idx="3">
                  <c:v>20.9889186429724</c:v>
                </c:pt>
                <c:pt idx="4">
                  <c:v>18.7336664622544</c:v>
                </c:pt>
                <c:pt idx="5">
                  <c:v>28.4275364555957</c:v>
                </c:pt>
                <c:pt idx="6">
                  <c:v>17.0061662452942</c:v>
                </c:pt>
                <c:pt idx="7">
                  <c:v>16.3344462468151</c:v>
                </c:pt>
                <c:pt idx="8">
                  <c:v>18.2681180285244</c:v>
                </c:pt>
                <c:pt idx="9">
                  <c:v>16.1261110228644</c:v>
                </c:pt>
              </c:numCache>
            </c:numRef>
          </c:val>
          <c:smooth val="0"/>
        </c:ser>
        <c:hiLowLines>
          <c:spPr>
            <a:ln w="0">
              <a:noFill/>
            </a:ln>
          </c:spPr>
        </c:hiLowLines>
        <c:marker val="1"/>
        <c:axId val="28246476"/>
        <c:axId val="32825730"/>
      </c:lineChart>
      <c:catAx>
        <c:axId val="59981081"/>
        <c:scaling>
          <c:orientation val="minMax"/>
        </c:scaling>
        <c:delete val="0"/>
        <c:axPos val="b"/>
        <c:numFmt formatCode="General"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94192883"/>
        <c:crosses val="autoZero"/>
        <c:auto val="1"/>
        <c:lblAlgn val="ctr"/>
        <c:lblOffset val="100"/>
        <c:noMultiLvlLbl val="0"/>
      </c:catAx>
      <c:valAx>
        <c:axId val="94192883"/>
        <c:scaling>
          <c:orientation val="minMax"/>
          <c:min val="0"/>
        </c:scaling>
        <c:delete val="0"/>
        <c:axPos val="l"/>
        <c:majorGridlines>
          <c:spPr>
            <a:ln w="0">
              <a:solidFill>
                <a:srgbClr val="b3b3b3"/>
              </a:solidFill>
            </a:ln>
          </c:spPr>
        </c:majorGridlines>
        <c:numFmt formatCode="#,##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59981081"/>
        <c:crosses val="autoZero"/>
        <c:crossBetween val="between"/>
      </c:valAx>
      <c:catAx>
        <c:axId val="28246476"/>
        <c:scaling>
          <c:orientation val="minMax"/>
        </c:scaling>
        <c:delete val="1"/>
        <c:axPos val="t"/>
        <c:numFmt formatCode="General" sourceLinked="1"/>
        <c:majorTickMark val="none"/>
        <c:minorTickMark val="none"/>
        <c:tickLblPos val="none"/>
        <c:spPr>
          <a:ln w="0">
            <a:solidFill>
              <a:srgbClr val="b3b3b3"/>
            </a:solidFill>
          </a:ln>
        </c:spPr>
        <c:txPr>
          <a:bodyPr/>
          <a:lstStyle/>
          <a:p>
            <a:pPr>
              <a:defRPr b="0" sz="1000" spc="-1" strike="noStrike">
                <a:solidFill>
                  <a:srgbClr val="000000"/>
                </a:solidFill>
                <a:latin typeface="Calibri"/>
              </a:defRPr>
            </a:pPr>
          </a:p>
        </c:txPr>
        <c:crossAx val="32825730"/>
        <c:auto val="1"/>
        <c:lblAlgn val="ctr"/>
        <c:lblOffset val="100"/>
        <c:noMultiLvlLbl val="0"/>
      </c:catAx>
      <c:valAx>
        <c:axId val="32825730"/>
        <c:scaling>
          <c:orientation val="minMax"/>
        </c:scaling>
        <c:delete val="0"/>
        <c:axPos val="r"/>
        <c:numFmt formatCode="0.0\x"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28246476"/>
        <c:crosses val="max"/>
        <c:crossBetween val="between"/>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46.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Leveraged Cash Flow (labeled YoY growth) and Stabilized Market Cap: Leveraged NOI Multiple (2016-2025)</a:t>
            </a:r>
          </a:p>
        </c:rich>
      </c:tx>
      <c:overlay val="0"/>
      <c:spPr>
        <a:noFill/>
        <a:ln w="0">
          <a:noFill/>
        </a:ln>
      </c:spPr>
    </c:title>
    <c:autoTitleDeleted val="0"/>
    <c:plotArea>
      <c:layout>
        <c:manualLayout>
          <c:layoutTarget val="inner"/>
          <c:xMode val="edge"/>
          <c:yMode val="edge"/>
          <c:x val="0.0900420571579958"/>
          <c:y val="0.2002002002002"/>
          <c:w val="0.819485379342319"/>
          <c:h val="0.55955955955956"/>
        </c:manualLayout>
      </c:layout>
      <c:barChart>
        <c:barDir val="col"/>
        <c:grouping val="stacked"/>
        <c:varyColors val="0"/>
        <c:ser>
          <c:idx val="0"/>
          <c:order val="0"/>
          <c:tx>
            <c:strRef>
              <c:f>"Leveraged Property Cash Flow ($M)"</c:f>
              <c:strCache>
                <c:ptCount val="1"/>
                <c:pt idx="0">
                  <c:v>Leveraged Property Cash Flow ($M)</c:v>
                </c:pt>
              </c:strCache>
            </c:strRef>
          </c:tx>
          <c:spPr>
            <a:solidFill>
              <a:srgbClr val="a31f34"/>
            </a:solidFill>
            <a:ln w="0">
              <a:noFill/>
            </a:ln>
          </c:spPr>
          <c:invertIfNegative val="0"/>
          <c:dPt>
            <c:idx val="1"/>
            <c:invertIfNegative val="0"/>
            <c:spPr>
              <a:solidFill>
                <a:srgbClr val="a31f34"/>
              </a:solidFill>
              <a:ln w="0">
                <a:noFill/>
              </a:ln>
            </c:spPr>
          </c:dPt>
          <c:dPt>
            <c:idx val="2"/>
            <c:invertIfNegative val="0"/>
            <c:spPr>
              <a:solidFill>
                <a:srgbClr val="a31f34"/>
              </a:solidFill>
              <a:ln w="0">
                <a:noFill/>
              </a:ln>
            </c:spPr>
          </c:dPt>
          <c:dPt>
            <c:idx val="3"/>
            <c:invertIfNegative val="0"/>
            <c:spPr>
              <a:solidFill>
                <a:srgbClr val="a31f34"/>
              </a:solidFill>
              <a:ln w="0">
                <a:noFill/>
              </a:ln>
            </c:spPr>
          </c:dPt>
          <c:dPt>
            <c:idx val="4"/>
            <c:invertIfNegative val="0"/>
            <c:spPr>
              <a:solidFill>
                <a:srgbClr val="a31f34"/>
              </a:solidFill>
              <a:ln w="0">
                <a:noFill/>
              </a:ln>
            </c:spPr>
          </c:dPt>
          <c:dPt>
            <c:idx val="5"/>
            <c:invertIfNegative val="0"/>
            <c:spPr>
              <a:solidFill>
                <a:srgbClr val="a31f34"/>
              </a:solidFill>
              <a:ln w="0">
                <a:noFill/>
              </a:ln>
            </c:spPr>
          </c:dPt>
          <c:dPt>
            <c:idx val="6"/>
            <c:invertIfNegative val="0"/>
            <c:spPr>
              <a:solidFill>
                <a:srgbClr val="a31f34"/>
              </a:solidFill>
              <a:ln w="0">
                <a:noFill/>
              </a:ln>
            </c:spPr>
          </c:dPt>
          <c:dPt>
            <c:idx val="7"/>
            <c:invertIfNegative val="0"/>
            <c:spPr>
              <a:solidFill>
                <a:srgbClr val="a31f34"/>
              </a:solidFill>
              <a:ln w="0">
                <a:noFill/>
              </a:ln>
            </c:spPr>
          </c:dPt>
          <c:dPt>
            <c:idx val="8"/>
            <c:invertIfNegative val="0"/>
            <c:spPr>
              <a:solidFill>
                <a:srgbClr val="a31f34"/>
              </a:solidFill>
              <a:ln w="0">
                <a:noFill/>
              </a:ln>
            </c:spPr>
          </c:dPt>
          <c:dPt>
            <c:idx val="9"/>
            <c:invertIfNegative val="0"/>
            <c:spPr>
              <a:solidFill>
                <a:srgbClr val="a31f34"/>
              </a:solidFill>
              <a:ln w="0">
                <a:noFill/>
              </a:ln>
            </c:spPr>
          </c:dPt>
          <c:dLbls>
            <c:dLbl>
              <c:idx val="1"/>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+11%</a:t>
                    </a:r>
                  </a:p>
                </c:rich>
              </c:tx>
              <c:dLblPos val="inEnd"/>
              <c:showLegendKey val="0"/>
              <c:showVal val="0"/>
              <c:showCatName val="0"/>
              <c:showSerName val="0"/>
              <c:showPercent val="0"/>
              <c:separator>; </c:separator>
            </c:dLbl>
            <c:dLbl>
              <c:idx val="2"/>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+2%</a:t>
                    </a:r>
                  </a:p>
                </c:rich>
              </c:tx>
              <c:dLblPos val="inEnd"/>
              <c:showLegendKey val="0"/>
              <c:showVal val="0"/>
              <c:showCatName val="0"/>
              <c:showSerName val="0"/>
              <c:showPercent val="0"/>
              <c:separator>; </c:separator>
            </c:dLbl>
            <c:dLbl>
              <c:idx val="3"/>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+7%</a:t>
                    </a:r>
                  </a:p>
                </c:rich>
              </c:tx>
              <c:dLblPos val="inEnd"/>
              <c:showLegendKey val="0"/>
              <c:showVal val="0"/>
              <c:showCatName val="0"/>
              <c:showSerName val="0"/>
              <c:showPercent val="0"/>
              <c:separator>; </c:separator>
            </c:dLbl>
            <c:dLbl>
              <c:idx val="4"/>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-7%</a:t>
                    </a:r>
                  </a:p>
                </c:rich>
              </c:tx>
              <c:dLblPos val="inEnd"/>
              <c:showLegendKey val="0"/>
              <c:showVal val="0"/>
              <c:showCatName val="0"/>
              <c:showSerName val="0"/>
              <c:showPercent val="0"/>
              <c:separator>; </c:separator>
            </c:dLbl>
            <c:dLbl>
              <c:idx val="5"/>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+1%</a:t>
                    </a:r>
                  </a:p>
                </c:rich>
              </c:tx>
              <c:dLblPos val="inEnd"/>
              <c:showLegendKey val="0"/>
              <c:showVal val="0"/>
              <c:showCatName val="0"/>
              <c:showSerName val="0"/>
              <c:showPercent val="0"/>
              <c:separator>; </c:separator>
            </c:dLbl>
            <c:dLbl>
              <c:idx val="6"/>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+20%</a:t>
                    </a:r>
                  </a:p>
                </c:rich>
              </c:tx>
              <c:dLblPos val="inEnd"/>
              <c:showLegendKey val="0"/>
              <c:showVal val="0"/>
              <c:showCatName val="0"/>
              <c:showSerName val="0"/>
              <c:showPercent val="0"/>
              <c:separator>; </c:separator>
            </c:dLbl>
            <c:dLbl>
              <c:idx val="7"/>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+11%</a:t>
                    </a:r>
                  </a:p>
                </c:rich>
              </c:tx>
              <c:dLblPos val="inEnd"/>
              <c:showLegendKey val="0"/>
              <c:showVal val="0"/>
              <c:showCatName val="0"/>
              <c:showSerName val="0"/>
              <c:showPercent val="0"/>
              <c:separator>; </c:separator>
            </c:dLbl>
            <c:dLbl>
              <c:idx val="8"/>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+2%</a:t>
                    </a:r>
                  </a:p>
                </c:rich>
              </c:tx>
              <c:dLblPos val="inEnd"/>
              <c:showLegendKey val="0"/>
              <c:showVal val="0"/>
              <c:showCatName val="0"/>
              <c:showSerName val="0"/>
              <c:showPercent val="0"/>
              <c:separator>; </c:separator>
            </c:dLbl>
            <c:dLbl>
              <c:idx val="9"/>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-1%</a:t>
                    </a:r>
                  </a:p>
                </c:rich>
              </c:tx>
              <c:dLblPos val="inEnd"/>
              <c:showLegendKey val="0"/>
              <c:showVal val="0"/>
              <c:showCatName val="0"/>
              <c:showSerName val="0"/>
              <c:showPercent val="0"/>
              <c:separator>; </c:separator>
            </c:dLbl>
            <c:txPr>
              <a:bodyPr wrap="square"/>
              <a:lstStyle/>
              <a:p>
                <a:pPr>
                  <a:defRPr b="0" sz="1000" spc="-1" strike="noStrike">
                    <a:solidFill>
                      <a:srgbClr val="000000"/>
                    </a:solidFill>
                    <a:latin typeface="Calibri"/>
                  </a:defRPr>
                </a:pPr>
              </a:p>
            </c:txPr>
            <c:dLblPos val="ct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'Composite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'Composite vs Market'!$N$4:$N$13</c:f>
              <c:numCache>
                <c:formatCode>#,##0</c:formatCode>
                <c:ptCount val="10"/>
                <c:pt idx="0">
                  <c:v>902.66027785429</c:v>
                </c:pt>
                <c:pt idx="1">
                  <c:v>1001.03919997018</c:v>
                </c:pt>
                <c:pt idx="2">
                  <c:v>1021.97963058592</c:v>
                </c:pt>
                <c:pt idx="3">
                  <c:v>1097.92543058484</c:v>
                </c:pt>
                <c:pt idx="4">
                  <c:v>1024.21006383456</c:v>
                </c:pt>
                <c:pt idx="5">
                  <c:v>1029.58932373031</c:v>
                </c:pt>
                <c:pt idx="6">
                  <c:v>1238.52100107325</c:v>
                </c:pt>
                <c:pt idx="7">
                  <c:v>1373.5277171177</c:v>
                </c:pt>
                <c:pt idx="8">
                  <c:v>1401.13285368712</c:v>
                </c:pt>
                <c:pt idx="9">
                  <c:v>1389.81099348876</c:v>
                </c:pt>
              </c:numCache>
            </c:numRef>
          </c:val>
        </c:ser>
        <c:ser>
          <c:idx val="1"/>
          <c:order val="1"/>
          <c:tx>
            <c:strRef>
              <c:f>"Stabilized Market Cap less Leveraged CF ($M)"</c:f>
              <c:strCache>
                <c:ptCount val="1"/>
                <c:pt idx="0">
                  <c:v>Stabilized Market Cap less Leveraged CF ($M)</c:v>
                </c:pt>
              </c:strCache>
            </c:strRef>
          </c:tx>
          <c:spPr>
            <a:solidFill>
              <a:srgbClr val="d9d9d9"/>
            </a:solidFill>
            <a:ln w="0">
              <a:noFill/>
            </a:ln>
          </c:spPr>
          <c:invertIfNegative val="0"/>
          <c:dLbls>
            <c:txPr>
              <a:bodyPr wrap="square"/>
              <a:lstStyle/>
              <a:p>
                <a:pPr>
                  <a:defRPr b="0" sz="1000" spc="-1" strike="noStrike">
                    <a:solidFill>
                      <a:srgbClr val="000000"/>
                    </a:solidFill>
                    <a:latin typeface="Calibri"/>
                  </a:defRPr>
                </a:pPr>
              </a:p>
            </c:txPr>
            <c:dLblPos val="ct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'Composite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'Composite vs Market'!$R$4:$R$13</c:f>
              <c:numCache>
                <c:formatCode>#,##0</c:formatCode>
                <c:ptCount val="10"/>
                <c:pt idx="0">
                  <c:v>15582.4727863559</c:v>
                </c:pt>
                <c:pt idx="1">
                  <c:v>16249.3795884619</c:v>
                </c:pt>
                <c:pt idx="2">
                  <c:v>15434.0626867476</c:v>
                </c:pt>
                <c:pt idx="3">
                  <c:v>20005.862432816</c:v>
                </c:pt>
                <c:pt idx="4">
                  <c:v>15710.1512422452</c:v>
                </c:pt>
                <c:pt idx="5">
                  <c:v>27299.2039206895</c:v>
                </c:pt>
                <c:pt idx="6">
                  <c:v>16887.4652063599</c:v>
                </c:pt>
                <c:pt idx="7">
                  <c:v>17832.9071479303</c:v>
                </c:pt>
                <c:pt idx="8">
                  <c:v>21433.5994391211</c:v>
                </c:pt>
                <c:pt idx="9">
                  <c:v>17458.7360295999</c:v>
                </c:pt>
              </c:numCache>
            </c:numRef>
          </c:val>
        </c:ser>
        <c:gapWidth val="150"/>
        <c:overlap val="100"/>
        <c:axId val="58225122"/>
        <c:axId val="7549335"/>
      </c:barChart>
      <c:lineChart>
        <c:grouping val="stacked"/>
        <c:varyColors val="0"/>
        <c:ser>
          <c:idx val="2"/>
          <c:order val="2"/>
          <c:tx>
            <c:strRef>
              <c:f>"Leveraged NOI Multiple (right)"</c:f>
              <c:strCache>
                <c:ptCount val="1"/>
                <c:pt idx="0">
                  <c:v>Leveraged NOI Multiple (right)</c:v>
                </c:pt>
              </c:strCache>
            </c:strRef>
          </c:tx>
          <c:spPr>
            <a:solidFill>
              <a:srgbClr val="1f3b57"/>
            </a:solidFill>
            <a:ln w="28440">
              <a:solidFill>
                <a:srgbClr val="1f3b57"/>
              </a:solidFill>
              <a:round/>
            </a:ln>
          </c:spPr>
          <c:marker>
            <c:symbol val="circle"/>
            <c:size val="5"/>
            <c:spPr>
              <a:solidFill>
                <a:srgbClr val="1f3b57"/>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'Composite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'Composite vs Market'!$K$4:$K$13</c:f>
              <c:numCache>
                <c:formatCode>0.0</c:formatCode>
                <c:ptCount val="10"/>
                <c:pt idx="0">
                  <c:v>18.2628320627966</c:v>
                </c:pt>
                <c:pt idx="1">
                  <c:v>17.2325107637603</c:v>
                </c:pt>
                <c:pt idx="2">
                  <c:v>16.1021235891943</c:v>
                </c:pt>
                <c:pt idx="3">
                  <c:v>19.2215129329497</c:v>
                </c:pt>
                <c:pt idx="4">
                  <c:v>16.338797964382</c:v>
                </c:pt>
                <c:pt idx="5">
                  <c:v>27.5146532617312</c:v>
                </c:pt>
                <c:pt idx="6">
                  <c:v>14.6351868008099</c:v>
                </c:pt>
                <c:pt idx="7">
                  <c:v>13.9832888886669</c:v>
                </c:pt>
                <c:pt idx="8">
                  <c:v>16.2973355686564</c:v>
                </c:pt>
                <c:pt idx="9">
                  <c:v>13.5619498704455</c:v>
                </c:pt>
              </c:numCache>
            </c:numRef>
          </c:val>
          <c:smooth val="0"/>
        </c:ser>
        <c:hiLowLines>
          <c:spPr>
            <a:ln w="0">
              <a:noFill/>
            </a:ln>
          </c:spPr>
        </c:hiLowLines>
        <c:marker val="1"/>
        <c:axId val="82536939"/>
        <c:axId val="79445303"/>
      </c:lineChart>
      <c:catAx>
        <c:axId val="58225122"/>
        <c:scaling>
          <c:orientation val="minMax"/>
        </c:scaling>
        <c:delete val="0"/>
        <c:axPos val="b"/>
        <c:numFmt formatCode="General"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7549335"/>
        <c:crosses val="autoZero"/>
        <c:auto val="1"/>
        <c:lblAlgn val="ctr"/>
        <c:lblOffset val="100"/>
        <c:noMultiLvlLbl val="0"/>
      </c:catAx>
      <c:valAx>
        <c:axId val="7549335"/>
        <c:scaling>
          <c:orientation val="minMax"/>
          <c:min val="0"/>
        </c:scaling>
        <c:delete val="0"/>
        <c:axPos val="l"/>
        <c:majorGridlines>
          <c:spPr>
            <a:ln w="0">
              <a:solidFill>
                <a:srgbClr val="b3b3b3"/>
              </a:solidFill>
            </a:ln>
          </c:spPr>
        </c:majorGridlines>
        <c:numFmt formatCode="#,##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58225122"/>
        <c:crosses val="autoZero"/>
        <c:crossBetween val="between"/>
      </c:valAx>
      <c:catAx>
        <c:axId val="82536939"/>
        <c:scaling>
          <c:orientation val="minMax"/>
        </c:scaling>
        <c:delete val="1"/>
        <c:axPos val="t"/>
        <c:numFmt formatCode="General" sourceLinked="1"/>
        <c:majorTickMark val="none"/>
        <c:minorTickMark val="none"/>
        <c:tickLblPos val="none"/>
        <c:spPr>
          <a:ln w="0">
            <a:solidFill>
              <a:srgbClr val="b3b3b3"/>
            </a:solidFill>
          </a:ln>
        </c:spPr>
        <c:txPr>
          <a:bodyPr/>
          <a:lstStyle/>
          <a:p>
            <a:pPr>
              <a:defRPr b="0" sz="1000" spc="-1" strike="noStrike">
                <a:solidFill>
                  <a:srgbClr val="000000"/>
                </a:solidFill>
                <a:latin typeface="Calibri"/>
              </a:defRPr>
            </a:pPr>
          </a:p>
        </c:txPr>
        <c:crossAx val="79445303"/>
        <c:auto val="1"/>
        <c:lblAlgn val="ctr"/>
        <c:lblOffset val="100"/>
        <c:noMultiLvlLbl val="0"/>
      </c:catAx>
      <c:valAx>
        <c:axId val="79445303"/>
        <c:scaling>
          <c:orientation val="minMax"/>
        </c:scaling>
        <c:delete val="0"/>
        <c:axPos val="r"/>
        <c:numFmt formatCode="0.0\x"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82536939"/>
        <c:crosses val="max"/>
        <c:crossBetween val="between"/>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47.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Composite Implied Cap Rate vs. Private Apartment Cap Rates (2016-2025)</a:t>
            </a:r>
          </a:p>
        </c:rich>
      </c:tx>
      <c:overlay val="0"/>
      <c:spPr>
        <a:noFill/>
        <a:ln w="0">
          <a:noFill/>
        </a:ln>
      </c:spPr>
    </c:title>
    <c:autoTitleDeleted val="0"/>
    <c:plotArea>
      <c:layout>
        <c:manualLayout>
          <c:layoutTarget val="inner"/>
          <c:xMode val="edge"/>
          <c:yMode val="edge"/>
          <c:x val="0.100043050634169"/>
          <c:y val="0.16016016016016"/>
          <c:w val="0.799450276517535"/>
          <c:h val="0.61961961961962"/>
        </c:manualLayout>
      </c:layout>
      <c:scatterChart>
        <c:scatterStyle val="lineMarker"/>
        <c:varyColors val="0"/>
        <c:ser>
          <c:idx val="0"/>
          <c:order val="0"/>
          <c:tx>
            <c:strRef>
              <c:f>"Composite Implied Cap Rate (public pricing, year-end)"</c:f>
              <c:strCache>
                <c:ptCount val="1"/>
                <c:pt idx="0">
                  <c:v>Composite Implied Cap Rate (public pricing, year-end)</c:v>
                </c:pt>
              </c:strCache>
            </c:strRef>
          </c:tx>
          <c:spPr>
            <a:solidFill>
              <a:srgbClr val="a31f34"/>
            </a:solidFill>
            <a:ln w="28440">
              <a:solidFill>
                <a:srgbClr val="a31f34"/>
              </a:solidFill>
              <a:round/>
            </a:ln>
          </c:spPr>
          <c:marker>
            <c:symbol val="circle"/>
            <c:size val="5"/>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'Composite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'Composite vs Market'!$B$4:$B$13</c:f>
              <c:numCache>
                <c:formatCode>0.00%</c:formatCode>
                <c:ptCount val="10"/>
                <c:pt idx="0">
                  <c:v>0.0480554051056047</c:v>
                </c:pt>
                <c:pt idx="1">
                  <c:v>0.0510976531008118</c:v>
                </c:pt>
                <c:pt idx="2">
                  <c:v>0.0549566653833778</c:v>
                </c:pt>
                <c:pt idx="3">
                  <c:v>0.0476441886792879</c:v>
                </c:pt>
                <c:pt idx="4">
                  <c:v>0.053379833681509</c:v>
                </c:pt>
                <c:pt idx="5">
                  <c:v>0.0351771600596491</c:v>
                </c:pt>
                <c:pt idx="6">
                  <c:v>0.0588022006592292</c:v>
                </c:pt>
                <c:pt idx="7">
                  <c:v>0.0612203183927941</c:v>
                </c:pt>
                <c:pt idx="8">
                  <c:v>0.0547401762151181</c:v>
                </c:pt>
                <c:pt idx="9">
                  <c:v>0.062011231262277</c:v>
                </c:pt>
              </c:numCache>
            </c:numRef>
          </c:yVal>
          <c:smooth val="0"/>
        </c:ser>
        <c:ser>
          <c:idx val="1"/>
          <c:order val="1"/>
          <c:tx>
            <c:strRef>
              <c:f>"Green Street Nominal Cap Rate, 51-Market Wtd Avg (4Q)"</c:f>
              <c:strCache>
                <c:ptCount val="1"/>
                <c:pt idx="0">
                  <c:v>Green Street Nominal Cap Rate, 51-Market Wtd Avg (4Q)</c:v>
                </c:pt>
              </c:strCache>
            </c:strRef>
          </c:tx>
          <c:spPr>
            <a:solidFill>
              <a:srgbClr val="1f3b57"/>
            </a:solidFill>
            <a:ln w="28440">
              <a:solidFill>
                <a:srgbClr val="1f3b57"/>
              </a:solidFill>
              <a:round/>
            </a:ln>
          </c:spPr>
          <c:marker>
            <c:symbol val="square"/>
            <c:size val="5"/>
            <c:spPr>
              <a:solidFill>
                <a:srgbClr val="1f3b57"/>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'Composite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'Composite vs Market'!$T$4:$T$13</c:f>
              <c:numCache>
                <c:formatCode>0.00%</c:formatCode>
                <c:ptCount val="10"/>
                <c:pt idx="0">
                  <c:v>0.04852258</c:v>
                </c:pt>
                <c:pt idx="1">
                  <c:v>0.0501092</c:v>
                </c:pt>
                <c:pt idx="2">
                  <c:v>0.04923149</c:v>
                </c:pt>
                <c:pt idx="3">
                  <c:v>0.0475775</c:v>
                </c:pt>
                <c:pt idx="4">
                  <c:v>0.04376953</c:v>
                </c:pt>
                <c:pt idx="5">
                  <c:v>0.03788439</c:v>
                </c:pt>
                <c:pt idx="6">
                  <c:v>0.05048362</c:v>
                </c:pt>
                <c:pt idx="7">
                  <c:v>0.05662173</c:v>
                </c:pt>
                <c:pt idx="8">
                  <c:v>0.05208783</c:v>
                </c:pt>
                <c:pt idx="9">
                  <c:v>0.05229724</c:v>
                </c:pt>
              </c:numCache>
            </c:numRef>
          </c:yVal>
          <c:smooth val="0"/>
        </c:ser>
        <c:ser>
          <c:idx val="2"/>
          <c:order val="2"/>
          <c:tx>
            <c:strRef>
              <c:f>"10-Yr UST Yield"</c:f>
              <c:strCache>
                <c:ptCount val="1"/>
                <c:pt idx="0">
                  <c:v>10-Yr UST Yield</c:v>
                </c:pt>
              </c:strCache>
            </c:strRef>
          </c:tx>
          <c:spPr>
            <a:solidFill>
              <a:srgbClr val="8a8a8a"/>
            </a:solidFill>
            <a:ln w="28440">
              <a:solidFill>
                <a:srgbClr val="8a8a8a"/>
              </a:solidFill>
              <a:prstDash val="sysDot"/>
              <a:round/>
            </a:ln>
          </c:spPr>
          <c:marker>
            <c:symbol val="dash"/>
            <c:size val="4"/>
            <c:spPr>
              <a:solidFill>
                <a:srgbClr val="8a8a8a"/>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'Composite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'Composite vs Market'!$C$4:$C$13</c:f>
              <c:numCache>
                <c:formatCode>0.00%</c:formatCode>
                <c:ptCount val="10"/>
                <c:pt idx="0">
                  <c:v>0.0245</c:v>
                </c:pt>
                <c:pt idx="1">
                  <c:v>0.024</c:v>
                </c:pt>
                <c:pt idx="2">
                  <c:v>0.0269</c:v>
                </c:pt>
                <c:pt idx="3">
                  <c:v>0.0192</c:v>
                </c:pt>
                <c:pt idx="4">
                  <c:v>0.0093</c:v>
                </c:pt>
                <c:pt idx="5">
                  <c:v>0.0152</c:v>
                </c:pt>
                <c:pt idx="6">
                  <c:v>0.0388</c:v>
                </c:pt>
                <c:pt idx="7">
                  <c:v>0.0388</c:v>
                </c:pt>
                <c:pt idx="8">
                  <c:v>0.0458</c:v>
                </c:pt>
                <c:pt idx="9">
                  <c:v>0.0418</c:v>
                </c:pt>
              </c:numCache>
            </c:numRef>
          </c:yVal>
          <c:smooth val="0"/>
        </c:ser>
        <c:axId val="20294917"/>
        <c:axId val="99167067"/>
      </c:scatterChart>
      <c:valAx>
        <c:axId val="20294917"/>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99167067"/>
        <c:crosses val="autoZero"/>
        <c:crossBetween val="midCat"/>
        <c:majorUnit val="1"/>
      </c:valAx>
      <c:valAx>
        <c:axId val="99167067"/>
        <c:scaling>
          <c:orientation val="minMax"/>
        </c:scaling>
        <c:delete val="0"/>
        <c:axPos val="l"/>
        <c:majorGridlines>
          <c:spPr>
            <a:ln w="0">
              <a:solidFill>
                <a:srgbClr val="b3b3b3"/>
              </a:solidFill>
            </a:ln>
          </c:spPr>
        </c:majorGridlines>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20294917"/>
        <c:crosses val="autoZero"/>
        <c:crossBetween val="midCat"/>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48.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Apartment Values vs. Construction Costs vs. CPI, Indexed to 2016 (2016-2025)</a:t>
            </a:r>
          </a:p>
        </c:rich>
      </c:tx>
      <c:overlay val="0"/>
      <c:spPr>
        <a:noFill/>
        <a:ln w="0">
          <a:noFill/>
        </a:ln>
      </c:spPr>
    </c:title>
    <c:autoTitleDeleted val="0"/>
    <c:plotArea>
      <c:layout>
        <c:manualLayout>
          <c:layoutTarget val="inner"/>
          <c:xMode val="edge"/>
          <c:yMode val="edge"/>
          <c:x val="0.100043050634169"/>
          <c:y val="0.16016016016016"/>
          <c:w val="0.799450276517535"/>
          <c:h val="0.61961961961962"/>
        </c:manualLayout>
      </c:layout>
      <c:scatterChart>
        <c:scatterStyle val="lineMarker"/>
        <c:varyColors val="0"/>
        <c:ser>
          <c:idx val="0"/>
          <c:order val="0"/>
          <c:tx>
            <c:strRef>
              <c:f>"Apartment Property Values (Green Street CPPI)"</c:f>
              <c:strCache>
                <c:ptCount val="1"/>
                <c:pt idx="0">
                  <c:v>Apartment Property Values (Green Street CPPI)</c:v>
                </c:pt>
              </c:strCache>
            </c:strRef>
          </c:tx>
          <c:spPr>
            <a:solidFill>
              <a:srgbClr val="a31f34"/>
            </a:solidFill>
            <a:ln w="28440">
              <a:solidFill>
                <a:srgbClr val="a31f34"/>
              </a:solidFill>
              <a:round/>
            </a:ln>
          </c:spPr>
          <c:marker>
            <c:symbol val="circle"/>
            <c:size val="5"/>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'Composite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'Composite vs Market'!$U$4:$U$13</c:f>
              <c:numCache>
                <c:formatCode>0.0</c:formatCode>
                <c:ptCount val="10"/>
                <c:pt idx="0">
                  <c:v>100</c:v>
                </c:pt>
                <c:pt idx="1">
                  <c:v>99.9419598056238</c:v>
                </c:pt>
                <c:pt idx="2">
                  <c:v>105.350134707176</c:v>
                </c:pt>
                <c:pt idx="3">
                  <c:v>111.012161577111</c:v>
                </c:pt>
                <c:pt idx="4">
                  <c:v>112.840426236934</c:v>
                </c:pt>
                <c:pt idx="5">
                  <c:v>148.305287254741</c:v>
                </c:pt>
                <c:pt idx="6">
                  <c:v>112.259083245291</c:v>
                </c:pt>
                <c:pt idx="7">
                  <c:v>100.508627067155</c:v>
                </c:pt>
                <c:pt idx="8">
                  <c:v>109.137003547425</c:v>
                </c:pt>
                <c:pt idx="9">
                  <c:v>109.052228192995</c:v>
                </c:pt>
              </c:numCache>
            </c:numRef>
          </c:yVal>
          <c:smooth val="0"/>
        </c:ser>
        <c:ser>
          <c:idx val="1"/>
          <c:order val="1"/>
          <c:tx>
            <c:strRef>
              <c:f>"Non-Residential Construction Costs (PPI)"</c:f>
              <c:strCache>
                <c:ptCount val="1"/>
                <c:pt idx="0">
                  <c:v>Non-Residential Construction Costs (PPI)</c:v>
                </c:pt>
              </c:strCache>
            </c:strRef>
          </c:tx>
          <c:spPr>
            <a:solidFill>
              <a:srgbClr val="1f3b57"/>
            </a:solidFill>
            <a:ln w="28440">
              <a:solidFill>
                <a:srgbClr val="1f3b57"/>
              </a:solidFill>
              <a:round/>
            </a:ln>
          </c:spPr>
          <c:marker>
            <c:symbol val="square"/>
            <c:size val="5"/>
            <c:spPr>
              <a:solidFill>
                <a:srgbClr val="1f3b57"/>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'Composite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'Composite vs Market'!$V$4:$V$13</c:f>
              <c:numCache>
                <c:formatCode>0.0</c:formatCode>
                <c:ptCount val="10"/>
                <c:pt idx="0">
                  <c:v>100</c:v>
                </c:pt>
                <c:pt idx="1">
                  <c:v>102.196167016261</c:v>
                </c:pt>
                <c:pt idx="2">
                  <c:v>106.491690421126</c:v>
                </c:pt>
                <c:pt idx="3">
                  <c:v>111.952526936661</c:v>
                </c:pt>
                <c:pt idx="4">
                  <c:v>114.716111798347</c:v>
                </c:pt>
                <c:pt idx="5">
                  <c:v>120.671758188566</c:v>
                </c:pt>
                <c:pt idx="6">
                  <c:v>144.713064056365</c:v>
                </c:pt>
                <c:pt idx="7">
                  <c:v>156.117893831012</c:v>
                </c:pt>
                <c:pt idx="8">
                  <c:v>156.281037666505</c:v>
                </c:pt>
                <c:pt idx="9">
                  <c:v>158.821420247763</c:v>
                </c:pt>
              </c:numCache>
            </c:numRef>
          </c:yVal>
          <c:smooth val="0"/>
        </c:ser>
        <c:ser>
          <c:idx val="2"/>
          <c:order val="2"/>
          <c:tx>
            <c:strRef>
              <c:f>"CPI (All Urban Consumers)"</c:f>
              <c:strCache>
                <c:ptCount val="1"/>
                <c:pt idx="0">
                  <c:v>CPI (All Urban Consumers)</c:v>
                </c:pt>
              </c:strCache>
            </c:strRef>
          </c:tx>
          <c:spPr>
            <a:solidFill>
              <a:srgbClr val="8a8a8a"/>
            </a:solidFill>
            <a:ln w="28440">
              <a:solidFill>
                <a:srgbClr val="8a8a8a"/>
              </a:solidFill>
              <a:prstDash val="dash"/>
              <a:round/>
            </a:ln>
          </c:spPr>
          <c:marker>
            <c:symbol val="dash"/>
            <c:size val="4"/>
            <c:spPr>
              <a:solidFill>
                <a:srgbClr val="8a8a8a"/>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'Composite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'Composite vs Market'!$W$4:$W$13</c:f>
              <c:numCache>
                <c:formatCode>0.0</c:formatCode>
                <c:ptCount val="10"/>
                <c:pt idx="0">
                  <c:v>100</c:v>
                </c:pt>
                <c:pt idx="1">
                  <c:v>102.13162225787</c:v>
                </c:pt>
                <c:pt idx="2">
                  <c:v>104.622820357909</c:v>
                </c:pt>
                <c:pt idx="3">
                  <c:v>106.519864169496</c:v>
                </c:pt>
                <c:pt idx="4">
                  <c:v>107.85441969959</c:v>
                </c:pt>
                <c:pt idx="5">
                  <c:v>112.903064519489</c:v>
                </c:pt>
                <c:pt idx="6">
                  <c:v>121.924959896669</c:v>
                </c:pt>
                <c:pt idx="7">
                  <c:v>126.956938397117</c:v>
                </c:pt>
                <c:pt idx="8">
                  <c:v>130.704776983813</c:v>
                </c:pt>
                <c:pt idx="9">
                  <c:v>134.14803858253</c:v>
                </c:pt>
              </c:numCache>
            </c:numRef>
          </c:yVal>
          <c:smooth val="0"/>
        </c:ser>
        <c:axId val="59260187"/>
        <c:axId val="36166042"/>
      </c:scatterChart>
      <c:valAx>
        <c:axId val="59260187"/>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36166042"/>
        <c:crosses val="autoZero"/>
        <c:crossBetween val="midCat"/>
        <c:majorUnit val="1"/>
      </c:valAx>
      <c:valAx>
        <c:axId val="36166042"/>
        <c:scaling>
          <c:orientation val="minMax"/>
        </c:scaling>
        <c:delete val="0"/>
        <c:axPos val="l"/>
        <c:majorGridlines>
          <c:spPr>
            <a:ln w="0">
              <a:solidFill>
                <a:srgbClr val="b3b3b3"/>
              </a:solidFill>
            </a:ln>
          </c:spPr>
        </c:majorGridlines>
        <c:numFmt formatCode="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59260187"/>
        <c:crosses val="autoZero"/>
        <c:crossBetween val="midCat"/>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49.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Market Asking Rent and Occupancy (2016-2025)
Left axis: CoStar market asking rent, $/Unit. Right axis: occupancy (100% less vacancy).</a:t>
            </a:r>
          </a:p>
        </c:rich>
      </c:tx>
      <c:overlay val="0"/>
      <c:spPr>
        <a:noFill/>
        <a:ln w="0">
          <a:noFill/>
        </a:ln>
      </c:spPr>
    </c:title>
    <c:autoTitleDeleted val="0"/>
    <c:plotArea>
      <c:layout>
        <c:manualLayout>
          <c:layoutTarget val="inner"/>
          <c:xMode val="edge"/>
          <c:yMode val="edge"/>
          <c:x val="0.100043050634169"/>
          <c:y val="0.16016016016016"/>
          <c:w val="0.799450276517535"/>
          <c:h val="0.61961961961962"/>
        </c:manualLayout>
      </c:layout>
      <c:scatterChart>
        <c:scatterStyle val="lineMarker"/>
        <c:varyColors val="0"/>
        <c:ser>
          <c:idx val="0"/>
          <c:order val="0"/>
          <c:tx>
            <c:strRef>
              <c:f>"CoStar Market Asking Rent ($/Unit, left)"</c:f>
              <c:strCache>
                <c:ptCount val="1"/>
                <c:pt idx="0">
                  <c:v>CoStar Market Asking Rent ($/Unit, left)</c:v>
                </c:pt>
              </c:strCache>
            </c:strRef>
          </c:tx>
          <c:spPr>
            <a:solidFill>
              <a:srgbClr val="a31f34"/>
            </a:solidFill>
            <a:ln w="28440">
              <a:solidFill>
                <a:srgbClr val="a31f34"/>
              </a:solidFill>
              <a:round/>
            </a:ln>
          </c:spPr>
          <c:marker>
            <c:symbol val="circle"/>
            <c:size val="5"/>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'Composite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'Composite vs Market'!$AA$4:$AA$13</c:f>
              <c:numCache>
                <c:formatCode>#,##0</c:formatCode>
                <c:ptCount val="10"/>
                <c:pt idx="0">
                  <c:v>1376.36653028372</c:v>
                </c:pt>
                <c:pt idx="1">
                  <c:v>1413.54736229744</c:v>
                </c:pt>
                <c:pt idx="2">
                  <c:v>1455.35257948066</c:v>
                </c:pt>
                <c:pt idx="3">
                  <c:v>1492.51299863927</c:v>
                </c:pt>
                <c:pt idx="4">
                  <c:v>1515.03157803764</c:v>
                </c:pt>
                <c:pt idx="5">
                  <c:v>1648.60423459865</c:v>
                </c:pt>
                <c:pt idx="6">
                  <c:v>1714.73423795083</c:v>
                </c:pt>
                <c:pt idx="7">
                  <c:v>1737.18200077721</c:v>
                </c:pt>
                <c:pt idx="8">
                  <c:v>1758.30089224859</c:v>
                </c:pt>
                <c:pt idx="9">
                  <c:v>1765.86107725045</c:v>
                </c:pt>
              </c:numCache>
            </c:numRef>
          </c:yVal>
          <c:smooth val="0"/>
        </c:ser>
        <c:axId val="15450003"/>
        <c:axId val="28730708"/>
      </c:scatterChart>
      <c:scatterChart>
        <c:scatterStyle val="lineMarker"/>
        <c:varyColors val="0"/>
        <c:ser>
          <c:idx val="1"/>
          <c:order val="1"/>
          <c:tx>
            <c:strRef>
              <c:f>"CoStar National Occupancy (right)"</c:f>
              <c:strCache>
                <c:ptCount val="1"/>
                <c:pt idx="0">
                  <c:v>CoStar National Occupancy (right)</c:v>
                </c:pt>
              </c:strCache>
            </c:strRef>
          </c:tx>
          <c:spPr>
            <a:solidFill>
              <a:srgbClr val="8a8a8a"/>
            </a:solidFill>
            <a:ln w="28440">
              <a:solidFill>
                <a:srgbClr val="8a8a8a"/>
              </a:solidFill>
              <a:prstDash val="dash"/>
              <a:round/>
            </a:ln>
          </c:spPr>
          <c:marker>
            <c:symbol val="diamond"/>
            <c:size val="4"/>
            <c:spPr>
              <a:solidFill>
                <a:srgbClr val="8a8a8a"/>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'Composite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'Composite vs Market'!$AB$4:$AB$13</c:f>
              <c:numCache>
                <c:formatCode>0.0%</c:formatCode>
                <c:ptCount val="10"/>
                <c:pt idx="0">
                  <c:v>0.933800252657227</c:v>
                </c:pt>
                <c:pt idx="1">
                  <c:v>0.931740924330767</c:v>
                </c:pt>
                <c:pt idx="2">
                  <c:v>0.934208294008667</c:v>
                </c:pt>
                <c:pt idx="3">
                  <c:v>0.933908627107305</c:v>
                </c:pt>
                <c:pt idx="4">
                  <c:v>0.932243901314361</c:v>
                </c:pt>
                <c:pt idx="5">
                  <c:v>0.948838109682052</c:v>
                </c:pt>
                <c:pt idx="6">
                  <c:v>0.934067346552357</c:v>
                </c:pt>
                <c:pt idx="7">
                  <c:v>0.922036331657417</c:v>
                </c:pt>
                <c:pt idx="8">
                  <c:v>0.916767915226356</c:v>
                </c:pt>
                <c:pt idx="9">
                  <c:v>0.915292446721569</c:v>
                </c:pt>
              </c:numCache>
            </c:numRef>
          </c:yVal>
          <c:smooth val="0"/>
        </c:ser>
        <c:axId val="9524751"/>
        <c:axId val="35170175"/>
      </c:scatterChart>
      <c:valAx>
        <c:axId val="15450003"/>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28730708"/>
        <c:crosses val="autoZero"/>
        <c:crossBetween val="midCat"/>
        <c:majorUnit val="1"/>
      </c:valAx>
      <c:valAx>
        <c:axId val="28730708"/>
        <c:scaling>
          <c:orientation val="minMax"/>
        </c:scaling>
        <c:delete val="0"/>
        <c:axPos val="l"/>
        <c:majorGridlines>
          <c:spPr>
            <a:ln w="0">
              <a:solidFill>
                <a:srgbClr val="b3b3b3"/>
              </a:solidFill>
            </a:ln>
          </c:spPr>
        </c:majorGridlines>
        <c:numFmt formatCode="\$0.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15450003"/>
        <c:crosses val="autoZero"/>
        <c:crossBetween val="midCat"/>
      </c:valAx>
      <c:valAx>
        <c:axId val="9524751"/>
        <c:scaling>
          <c:orientation val="minMax"/>
        </c:scaling>
        <c:delete val="1"/>
        <c:axPos val="t"/>
        <c:numFmt formatCode="General" sourceLinked="1"/>
        <c:majorTickMark val="none"/>
        <c:minorTickMark val="none"/>
        <c:tickLblPos val="none"/>
        <c:spPr>
          <a:ln w="0">
            <a:solidFill>
              <a:srgbClr val="b3b3b3"/>
            </a:solidFill>
          </a:ln>
        </c:spPr>
        <c:txPr>
          <a:bodyPr/>
          <a:lstStyle/>
          <a:p>
            <a:pPr>
              <a:defRPr b="0" sz="1000" spc="-1" strike="noStrike">
                <a:solidFill>
                  <a:srgbClr val="000000"/>
                </a:solidFill>
                <a:latin typeface="Calibri"/>
              </a:defRPr>
            </a:pPr>
          </a:p>
        </c:txPr>
        <c:crossAx val="35170175"/>
        <c:crossBetween val="midCat"/>
        <c:majorUnit val="1"/>
      </c:valAx>
      <c:valAx>
        <c:axId val="35170175"/>
        <c:scaling>
          <c:orientation val="minMax"/>
        </c:scaling>
        <c:delete val="0"/>
        <c:axPos val="r"/>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9524751"/>
        <c:crosses val="max"/>
        <c:crossBetween val="midCat"/>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5.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800" spc="-1" strike="noStrike">
                <a:solidFill>
                  <a:srgbClr val="000000"/>
                </a:solidFill>
                <a:latin typeface="Calibri"/>
              </a:defRPr>
            </a:pPr>
            <a:r>
              <a:rPr b="1" lang="en-US" sz="1800" spc="-1" strike="noStrike">
                <a:solidFill>
                  <a:srgbClr val="000000"/>
                </a:solidFill>
                <a:latin typeface="Calibri"/>
              </a:rPr>
              <a:t>AVB: Cap Rate vs. Leveraged Equity Yield (2016-2025)</a:t>
            </a:r>
          </a:p>
        </c:rich>
      </c:tx>
      <c:overlay val="0"/>
      <c:spPr>
        <a:noFill/>
        <a:ln w="0">
          <a:noFill/>
        </a:ln>
      </c:spPr>
    </c:title>
    <c:autoTitleDeleted val="0"/>
    <c:plotArea>
      <c:layout>
        <c:manualLayout>
          <c:layoutTarget val="inner"/>
          <c:xMode val="edge"/>
          <c:yMode val="edge"/>
          <c:x val="0.100043050634169"/>
          <c:y val="0.14014014014014"/>
          <c:w val="0.799450276517535"/>
          <c:h val="0.67967967967968"/>
        </c:manualLayout>
      </c:layout>
      <c:barChart>
        <c:barDir val="col"/>
        <c:grouping val="clustered"/>
        <c:varyColors val="0"/>
        <c:ser>
          <c:idx val="0"/>
          <c:order val="0"/>
          <c:tx>
            <c:strRef>
              <c:f>'AVB vs Market'!$F$3</c:f>
              <c:strCache>
                <c:ptCount val="1"/>
                <c:pt idx="0">
                  <c:v>Leverage Contribution: Lev Yield less Cap Rate (pp)</c:v>
                </c:pt>
              </c:strCache>
            </c:strRef>
          </c:tx>
          <c:spPr>
            <a:solidFill>
              <a:srgbClr val="9dbb9d"/>
            </a:solidFill>
            <a:ln w="0">
              <a:solidFill>
                <a:srgbClr val="7a9a7a"/>
              </a:solidFill>
            </a:ln>
          </c:spPr>
          <c:invertIfNegative val="0"/>
          <c:dLbls>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'AVB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'AVB vs Market'!$F$4:$F$13</c:f>
              <c:numCache>
                <c:formatCode>0.00%</c:formatCode>
                <c:ptCount val="10"/>
                <c:pt idx="0">
                  <c:v>0.00670407469264565</c:v>
                </c:pt>
                <c:pt idx="1">
                  <c:v>0.00676250864932351</c:v>
                </c:pt>
                <c:pt idx="2">
                  <c:v>0.00669531190280204</c:v>
                </c:pt>
                <c:pt idx="3">
                  <c:v>0.00464602423073666</c:v>
                </c:pt>
                <c:pt idx="4">
                  <c:v>0.00899748620425073</c:v>
                </c:pt>
                <c:pt idx="5">
                  <c:v>0.00200093236675365</c:v>
                </c:pt>
                <c:pt idx="6">
                  <c:v>0.0124097666825837</c:v>
                </c:pt>
                <c:pt idx="7">
                  <c:v>0.00990885346788666</c:v>
                </c:pt>
                <c:pt idx="8">
                  <c:v>0.0063520744338856</c:v>
                </c:pt>
                <c:pt idx="9">
                  <c:v>0.0127603368794017</c:v>
                </c:pt>
              </c:numCache>
            </c:numRef>
          </c:val>
        </c:ser>
        <c:gapWidth val="80"/>
        <c:overlap val="0"/>
        <c:axId val="96866528"/>
        <c:axId val="66358509"/>
      </c:barChart>
      <c:lineChart>
        <c:grouping val="standard"/>
        <c:varyColors val="0"/>
        <c:ser>
          <c:idx val="1"/>
          <c:order val="1"/>
          <c:tx>
            <c:strRef>
              <c:f>'AVB vs Market'!$B$3</c:f>
              <c:strCache>
                <c:ptCount val="1"/>
                <c:pt idx="0">
                  <c:v>AVB Stabilized Implied Cap Rate (%)</c:v>
                </c:pt>
              </c:strCache>
            </c:strRef>
          </c:tx>
          <c:spPr>
            <a:solidFill>
              <a:srgbClr val="a31f34"/>
            </a:solidFill>
            <a:ln w="28080">
              <a:solidFill>
                <a:srgbClr val="a31f34"/>
              </a:solidFill>
              <a:round/>
            </a:ln>
          </c:spPr>
          <c:marker>
            <c:symbol val="circle"/>
            <c:size val="6"/>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'AVB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'AVB vs Market'!$B$4:$B$13</c:f>
              <c:numCache>
                <c:formatCode>0.00%</c:formatCode>
                <c:ptCount val="10"/>
                <c:pt idx="0">
                  <c:v>0.0479929741398078</c:v>
                </c:pt>
                <c:pt idx="1">
                  <c:v>0.0487053434256344</c:v>
                </c:pt>
                <c:pt idx="2">
                  <c:v>0.0525525643905147</c:v>
                </c:pt>
                <c:pt idx="3">
                  <c:v>0.0458534983322351</c:v>
                </c:pt>
                <c:pt idx="4">
                  <c:v>0.0536289608635082</c:v>
                </c:pt>
                <c:pt idx="5">
                  <c:v>0.0356808440799286</c:v>
                </c:pt>
                <c:pt idx="6">
                  <c:v>0.0595244586935358</c:v>
                </c:pt>
                <c:pt idx="7">
                  <c:v>0.05699481934223</c:v>
                </c:pt>
                <c:pt idx="8">
                  <c:v>0.0517215112937037</c:v>
                </c:pt>
                <c:pt idx="9">
                  <c:v>0.0606232243679619</c:v>
                </c:pt>
              </c:numCache>
            </c:numRef>
          </c:val>
          <c:smooth val="0"/>
        </c:ser>
        <c:ser>
          <c:idx val="2"/>
          <c:order val="2"/>
          <c:tx>
            <c:strRef>
              <c:f>'AVB vs Market'!$E$3</c:f>
              <c:strCache>
                <c:ptCount val="1"/>
                <c:pt idx="0">
                  <c:v>AVB Stabilized Leveraged Equity Yield (%)</c:v>
                </c:pt>
              </c:strCache>
            </c:strRef>
          </c:tx>
          <c:spPr>
            <a:solidFill>
              <a:srgbClr val="3a3a3a"/>
            </a:solidFill>
            <a:ln w="28080">
              <a:solidFill>
                <a:srgbClr val="3a3a3a"/>
              </a:solidFill>
              <a:round/>
            </a:ln>
          </c:spPr>
          <c:marker>
            <c:symbol val="circle"/>
            <c:size val="6"/>
            <c:spPr>
              <a:solidFill>
                <a:srgbClr val="3a3a3a"/>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'AVB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'AVB vs Market'!$E$4:$E$13</c:f>
              <c:numCache>
                <c:formatCode>0.00%</c:formatCode>
                <c:ptCount val="10"/>
                <c:pt idx="0">
                  <c:v>0.0546970488324534</c:v>
                </c:pt>
                <c:pt idx="1">
                  <c:v>0.0554678520749579</c:v>
                </c:pt>
                <c:pt idx="2">
                  <c:v>0.0592478762933167</c:v>
                </c:pt>
                <c:pt idx="3">
                  <c:v>0.0504995225629717</c:v>
                </c:pt>
                <c:pt idx="4">
                  <c:v>0.0626264470677589</c:v>
                </c:pt>
                <c:pt idx="5">
                  <c:v>0.0376817764466823</c:v>
                </c:pt>
                <c:pt idx="6">
                  <c:v>0.0719342253761196</c:v>
                </c:pt>
                <c:pt idx="7">
                  <c:v>0.0669036728101166</c:v>
                </c:pt>
                <c:pt idx="8">
                  <c:v>0.0580735857275893</c:v>
                </c:pt>
                <c:pt idx="9">
                  <c:v>0.0733835612473636</c:v>
                </c:pt>
              </c:numCache>
            </c:numRef>
          </c:val>
          <c:smooth val="0"/>
        </c:ser>
        <c:hiLowLines>
          <c:spPr>
            <a:ln w="0">
              <a:noFill/>
            </a:ln>
          </c:spPr>
        </c:hiLowLines>
        <c:marker val="1"/>
        <c:axId val="70638870"/>
        <c:axId val="97480612"/>
      </c:lineChart>
      <c:catAx>
        <c:axId val="96866528"/>
        <c:scaling>
          <c:orientation val="minMax"/>
        </c:scaling>
        <c:delete val="0"/>
        <c:axPos val="b"/>
        <c:numFmt formatCode="General"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66358509"/>
        <c:crosses val="autoZero"/>
        <c:auto val="1"/>
        <c:lblAlgn val="ctr"/>
        <c:lblOffset val="100"/>
        <c:noMultiLvlLbl val="0"/>
      </c:catAx>
      <c:valAx>
        <c:axId val="66358509"/>
        <c:scaling>
          <c:orientation val="minMax"/>
        </c:scaling>
        <c:delete val="0"/>
        <c:axPos val="l"/>
        <c:majorGridlines>
          <c:spPr>
            <a:ln w="0">
              <a:solidFill>
                <a:srgbClr val="b3b3b3"/>
              </a:solidFill>
            </a:ln>
          </c:spPr>
        </c:majorGridlines>
        <c:title>
          <c:tx>
            <c:rich>
              <a:bodyPr rot="-5400000"/>
              <a:lstStyle/>
              <a:p>
                <a:pPr>
                  <a:defRPr b="1" lang="en-US" sz="1000" spc="-1" strike="noStrike">
                    <a:solidFill>
                      <a:srgbClr val="000000"/>
                    </a:solidFill>
                    <a:latin typeface="Calibri"/>
                  </a:defRPr>
                </a:pPr>
                <a:r>
                  <a:rPr b="1" lang="en-US" sz="1000" spc="-1" strike="noStrike">
                    <a:solidFill>
                      <a:srgbClr val="000000"/>
                    </a:solidFill>
                    <a:latin typeface="Calibri"/>
                  </a:rPr>
                  <a:t>Leverage contribution (pct pts)</a:t>
                </a:r>
              </a:p>
            </c:rich>
          </c:tx>
          <c:overlay val="0"/>
          <c:spPr>
            <a:noFill/>
            <a:ln w="0">
              <a:noFill/>
            </a:ln>
          </c:spPr>
        </c:title>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96866528"/>
        <c:crosses val="autoZero"/>
        <c:crossBetween val="between"/>
      </c:valAx>
      <c:catAx>
        <c:axId val="70638870"/>
        <c:scaling>
          <c:orientation val="minMax"/>
        </c:scaling>
        <c:delete val="1"/>
        <c:axPos val="t"/>
        <c:numFmt formatCode="General" sourceLinked="1"/>
        <c:majorTickMark val="none"/>
        <c:minorTickMark val="none"/>
        <c:tickLblPos val="none"/>
        <c:spPr>
          <a:ln w="0">
            <a:solidFill>
              <a:srgbClr val="b3b3b3"/>
            </a:solidFill>
          </a:ln>
        </c:spPr>
        <c:txPr>
          <a:bodyPr/>
          <a:lstStyle/>
          <a:p>
            <a:pPr>
              <a:defRPr b="0" sz="1000" spc="-1" strike="noStrike">
                <a:solidFill>
                  <a:srgbClr val="000000"/>
                </a:solidFill>
                <a:latin typeface="Calibri"/>
              </a:defRPr>
            </a:pPr>
          </a:p>
        </c:txPr>
        <c:crossAx val="97480612"/>
        <c:auto val="1"/>
        <c:lblAlgn val="ctr"/>
        <c:lblOffset val="100"/>
        <c:noMultiLvlLbl val="0"/>
      </c:catAx>
      <c:valAx>
        <c:axId val="97480612"/>
        <c:scaling>
          <c:orientation val="minMax"/>
        </c:scaling>
        <c:delete val="0"/>
        <c:axPos val="r"/>
        <c:title>
          <c:tx>
            <c:rich>
              <a:bodyPr rot="-5400000"/>
              <a:lstStyle/>
              <a:p>
                <a:pPr>
                  <a:defRPr b="1" lang="en-US" sz="1000" spc="-1" strike="noStrike">
                    <a:solidFill>
                      <a:srgbClr val="000000"/>
                    </a:solidFill>
                    <a:latin typeface="Calibri"/>
                  </a:defRPr>
                </a:pPr>
                <a:r>
                  <a:rPr b="1" lang="en-US" sz="1000" spc="-1" strike="noStrike">
                    <a:solidFill>
                      <a:srgbClr val="000000"/>
                    </a:solidFill>
                    <a:latin typeface="Calibri"/>
                  </a:rPr>
                  <a:t>Yield (%)</a:t>
                </a:r>
              </a:p>
            </c:rich>
          </c:tx>
          <c:overlay val="0"/>
          <c:spPr>
            <a:noFill/>
            <a:ln w="0">
              <a:noFill/>
            </a:ln>
          </c:spPr>
        </c:title>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70638870"/>
        <c:crosses val="max"/>
        <c:crossBetween val="between"/>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50.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Asking Rent and Market-RevPAF (Indexed, 2016 = 100) and Vacancy (2016-2025)</a:t>
            </a:r>
          </a:p>
        </c:rich>
      </c:tx>
      <c:overlay val="0"/>
      <c:spPr>
        <a:noFill/>
        <a:ln w="0">
          <a:noFill/>
        </a:ln>
      </c:spPr>
    </c:title>
    <c:autoTitleDeleted val="0"/>
    <c:plotArea>
      <c:layout>
        <c:manualLayout>
          <c:layoutTarget val="inner"/>
          <c:xMode val="edge"/>
          <c:yMode val="edge"/>
          <c:x val="0.100043050634169"/>
          <c:y val="0.16016016016016"/>
          <c:w val="0.799450276517535"/>
          <c:h val="0.61961961961962"/>
        </c:manualLayout>
      </c:layout>
      <c:scatterChart>
        <c:scatterStyle val="lineMarker"/>
        <c:varyColors val="0"/>
        <c:ser>
          <c:idx val="0"/>
          <c:order val="0"/>
          <c:tx>
            <c:strRef>
              <c:f>"CoStar Market Asking Rent (2016 = 100)"</c:f>
              <c:strCache>
                <c:ptCount val="1"/>
                <c:pt idx="0">
                  <c:v>CoStar Market Asking Rent (2016 = 100)</c:v>
                </c:pt>
              </c:strCache>
            </c:strRef>
          </c:tx>
          <c:spPr>
            <a:solidFill>
              <a:srgbClr val="1f3b57"/>
            </a:solidFill>
            <a:ln w="28440">
              <a:solidFill>
                <a:srgbClr val="1f3b57"/>
              </a:solidFill>
              <a:round/>
            </a:ln>
          </c:spPr>
          <c:marker>
            <c:symbol val="circle"/>
            <c:size val="5"/>
            <c:spPr>
              <a:solidFill>
                <a:srgbClr val="1f3b57"/>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'Composite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'Composite vs Market'!$X$4:$X$13</c:f>
              <c:numCache>
                <c:formatCode>0.0</c:formatCode>
                <c:ptCount val="10"/>
                <c:pt idx="0">
                  <c:v>100</c:v>
                </c:pt>
                <c:pt idx="1">
                  <c:v>102.701375774232</c:v>
                </c:pt>
                <c:pt idx="2">
                  <c:v>105.738736554474</c:v>
                </c:pt>
                <c:pt idx="3">
                  <c:v>108.438629231387</c:v>
                </c:pt>
                <c:pt idx="4">
                  <c:v>110.074718085838</c:v>
                </c:pt>
                <c:pt idx="5">
                  <c:v>119.77944815752</c:v>
                </c:pt>
                <c:pt idx="6">
                  <c:v>124.5841278629</c:v>
                </c:pt>
                <c:pt idx="7">
                  <c:v>126.215071534696</c:v>
                </c:pt>
                <c:pt idx="8">
                  <c:v>127.749465971549</c:v>
                </c:pt>
                <c:pt idx="9">
                  <c:v>128.2987517058</c:v>
                </c:pt>
              </c:numCache>
            </c:numRef>
          </c:yVal>
          <c:smooth val="0"/>
        </c:ser>
        <c:ser>
          <c:idx val="1"/>
          <c:order val="1"/>
          <c:tx>
            <c:strRef>
              <c:f>"Green Street Market-RevPAF (2016 = 100)"</c:f>
              <c:strCache>
                <c:ptCount val="1"/>
                <c:pt idx="0">
                  <c:v>Green Street Market-RevPAF (2016 = 100)</c:v>
                </c:pt>
              </c:strCache>
            </c:strRef>
          </c:tx>
          <c:spPr>
            <a:solidFill>
              <a:srgbClr val="a31f34"/>
            </a:solidFill>
            <a:ln w="28440">
              <a:solidFill>
                <a:srgbClr val="a31f34"/>
              </a:solidFill>
              <a:round/>
            </a:ln>
          </c:spPr>
          <c:marker>
            <c:symbol val="square"/>
            <c:size val="5"/>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'Composite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'Composite vs Market'!$AC$4:$AC$13</c:f>
              <c:numCache>
                <c:formatCode>0.0</c:formatCode>
                <c:ptCount val="10"/>
                <c:pt idx="0">
                  <c:v>100</c:v>
                </c:pt>
                <c:pt idx="1">
                  <c:v>101.91307</c:v>
                </c:pt>
                <c:pt idx="2">
                  <c:v>105.538820080952</c:v>
                </c:pt>
                <c:pt idx="3">
                  <c:v>108.533613913498</c:v>
                </c:pt>
                <c:pt idx="4">
                  <c:v>106.659623695541</c:v>
                </c:pt>
                <c:pt idx="5">
                  <c:v>123.022780000098</c:v>
                </c:pt>
                <c:pt idx="6">
                  <c:v>128.621102605667</c:v>
                </c:pt>
                <c:pt idx="7">
                  <c:v>128.260630389715</c:v>
                </c:pt>
                <c:pt idx="8">
                  <c:v>128.940642599915</c:v>
                </c:pt>
                <c:pt idx="9">
                  <c:v>129.359570747722</c:v>
                </c:pt>
              </c:numCache>
            </c:numRef>
          </c:yVal>
          <c:smooth val="0"/>
        </c:ser>
        <c:axId val="14626928"/>
        <c:axId val="92765713"/>
      </c:scatterChart>
      <c:scatterChart>
        <c:scatterStyle val="lineMarker"/>
        <c:varyColors val="0"/>
        <c:ser>
          <c:idx val="2"/>
          <c:order val="2"/>
          <c:tx>
            <c:strRef>
              <c:f>"CoStar National Vacancy (%)"</c:f>
              <c:strCache>
                <c:ptCount val="1"/>
                <c:pt idx="0">
                  <c:v>CoStar National Vacancy (%)</c:v>
                </c:pt>
              </c:strCache>
            </c:strRef>
          </c:tx>
          <c:spPr>
            <a:solidFill>
              <a:srgbClr val="8a8a8a"/>
            </a:solidFill>
            <a:ln w="28440">
              <a:solidFill>
                <a:srgbClr val="8a8a8a"/>
              </a:solidFill>
              <a:prstDash val="dash"/>
              <a:round/>
            </a:ln>
          </c:spPr>
          <c:marker>
            <c:symbol val="diamond"/>
            <c:size val="4"/>
            <c:spPr>
              <a:solidFill>
                <a:srgbClr val="8a8a8a"/>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'Composite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'Composite vs Market'!$G$4:$G$13</c:f>
              <c:numCache>
                <c:formatCode>0.00%</c:formatCode>
                <c:ptCount val="10"/>
                <c:pt idx="0">
                  <c:v>0.0661997473427734</c:v>
                </c:pt>
                <c:pt idx="1">
                  <c:v>0.0682590756692329</c:v>
                </c:pt>
                <c:pt idx="2">
                  <c:v>0.0657917059913334</c:v>
                </c:pt>
                <c:pt idx="3">
                  <c:v>0.0660913728926952</c:v>
                </c:pt>
                <c:pt idx="4">
                  <c:v>0.0677560986856392</c:v>
                </c:pt>
                <c:pt idx="5">
                  <c:v>0.0511618903179478</c:v>
                </c:pt>
                <c:pt idx="6">
                  <c:v>0.0659326534476428</c:v>
                </c:pt>
                <c:pt idx="7">
                  <c:v>0.0779636683425829</c:v>
                </c:pt>
                <c:pt idx="8">
                  <c:v>0.083232084773644</c:v>
                </c:pt>
                <c:pt idx="9">
                  <c:v>0.0847075532784309</c:v>
                </c:pt>
              </c:numCache>
            </c:numRef>
          </c:yVal>
          <c:smooth val="0"/>
        </c:ser>
        <c:axId val="89392006"/>
        <c:axId val="74966256"/>
      </c:scatterChart>
      <c:valAx>
        <c:axId val="14626928"/>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92765713"/>
        <c:crosses val="autoZero"/>
        <c:crossBetween val="midCat"/>
        <c:majorUnit val="1"/>
      </c:valAx>
      <c:valAx>
        <c:axId val="92765713"/>
        <c:scaling>
          <c:orientation val="minMax"/>
        </c:scaling>
        <c:delete val="0"/>
        <c:axPos val="l"/>
        <c:majorGridlines>
          <c:spPr>
            <a:ln w="0">
              <a:solidFill>
                <a:srgbClr val="b3b3b3"/>
              </a:solidFill>
            </a:ln>
          </c:spPr>
        </c:majorGridlines>
        <c:numFmt formatCode="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14626928"/>
        <c:crosses val="autoZero"/>
        <c:crossBetween val="midCat"/>
      </c:valAx>
      <c:valAx>
        <c:axId val="89392006"/>
        <c:scaling>
          <c:orientation val="minMax"/>
        </c:scaling>
        <c:delete val="1"/>
        <c:axPos val="t"/>
        <c:numFmt formatCode="General" sourceLinked="1"/>
        <c:majorTickMark val="none"/>
        <c:minorTickMark val="none"/>
        <c:tickLblPos val="none"/>
        <c:spPr>
          <a:ln w="0">
            <a:solidFill>
              <a:srgbClr val="b3b3b3"/>
            </a:solidFill>
          </a:ln>
        </c:spPr>
        <c:txPr>
          <a:bodyPr/>
          <a:lstStyle/>
          <a:p>
            <a:pPr>
              <a:defRPr b="0" sz="1000" spc="-1" strike="noStrike">
                <a:solidFill>
                  <a:srgbClr val="000000"/>
                </a:solidFill>
                <a:latin typeface="Calibri"/>
              </a:defRPr>
            </a:pPr>
          </a:p>
        </c:txPr>
        <c:crossAx val="74966256"/>
        <c:crossBetween val="midCat"/>
        <c:majorUnit val="1"/>
      </c:valAx>
      <c:valAx>
        <c:axId val="74966256"/>
        <c:scaling>
          <c:orientation val="minMax"/>
        </c:scaling>
        <c:delete val="0"/>
        <c:axPos val="r"/>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89392006"/>
        <c:crosses val="max"/>
        <c:crossBetween val="midCat"/>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51.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Supply Reduction and Forecast Revenue Recovery (2016-2030): Market-RevPAF Growth
Green Street, 50-market weighted average; dashed segment is the Green Street forecast (2026-2030).</a:t>
            </a:r>
          </a:p>
        </c:rich>
      </c:tx>
      <c:overlay val="0"/>
      <c:spPr>
        <a:noFill/>
        <a:ln w="0">
          <a:noFill/>
        </a:ln>
      </c:spPr>
    </c:title>
    <c:autoTitleDeleted val="0"/>
    <c:plotArea>
      <c:layout>
        <c:manualLayout>
          <c:layoutTarget val="inner"/>
          <c:xMode val="edge"/>
          <c:yMode val="edge"/>
          <c:x val="0.100043050634169"/>
          <c:y val="0.16016016016016"/>
          <c:w val="0.799450276517535"/>
          <c:h val="0.61961961961962"/>
        </c:manualLayout>
      </c:layout>
      <c:scatterChart>
        <c:scatterStyle val="lineMarker"/>
        <c:varyColors val="0"/>
        <c:ser>
          <c:idx val="0"/>
          <c:order val="0"/>
          <c:tx>
            <c:strRef>
              <c:f>"Market-RevPAF Growth, actual"</c:f>
              <c:strCache>
                <c:ptCount val="1"/>
                <c:pt idx="0">
                  <c:v>Market-RevPAF Growth, actual</c:v>
                </c:pt>
              </c:strCache>
            </c:strRef>
          </c:tx>
          <c:spPr>
            <a:solidFill>
              <a:srgbClr val="a31f34"/>
            </a:solidFill>
            <a:ln w="28440">
              <a:solidFill>
                <a:srgbClr val="a31f34"/>
              </a:solidFill>
              <a:round/>
            </a:ln>
          </c:spPr>
          <c:marker>
            <c:symbol val="circle"/>
            <c:size val="5"/>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'Green Street National'!$A$4:$A$13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'Green Street National'!$C$4:$C$13</c:f>
              <c:numCache>
                <c:formatCode>0.00%</c:formatCode>
                <c:ptCount val="10"/>
                <c:pt idx="0">
                  <c:v>0.01663905</c:v>
                </c:pt>
                <c:pt idx="1">
                  <c:v>0.0191307</c:v>
                </c:pt>
                <c:pt idx="2">
                  <c:v>0.03557689</c:v>
                </c:pt>
                <c:pt idx="3">
                  <c:v>0.02837623</c:v>
                </c:pt>
                <c:pt idx="4">
                  <c:v>-0.01726645</c:v>
                </c:pt>
                <c:pt idx="5">
                  <c:v>0.15341472</c:v>
                </c:pt>
                <c:pt idx="6">
                  <c:v>0.04550639</c:v>
                </c:pt>
                <c:pt idx="7">
                  <c:v>-0.00280259</c:v>
                </c:pt>
                <c:pt idx="8">
                  <c:v>0.0053018</c:v>
                </c:pt>
                <c:pt idx="9">
                  <c:v>0.003249</c:v>
                </c:pt>
              </c:numCache>
            </c:numRef>
          </c:yVal>
          <c:smooth val="0"/>
        </c:ser>
        <c:ser>
          <c:idx val="1"/>
          <c:order val="1"/>
          <c:tx>
            <c:strRef>
              <c:f>"Market-RevPAF Growth, Green Street forecast"</c:f>
              <c:strCache>
                <c:ptCount val="1"/>
                <c:pt idx="0">
                  <c:v>Market-RevPAF Growth, Green Street forecast</c:v>
                </c:pt>
              </c:strCache>
            </c:strRef>
          </c:tx>
          <c:spPr>
            <a:solidFill>
              <a:srgbClr val="a31f34"/>
            </a:solidFill>
            <a:ln w="28440">
              <a:solidFill>
                <a:srgbClr val="a31f34"/>
              </a:solidFill>
              <a:prstDash val="dash"/>
              <a:round/>
            </a:ln>
          </c:spPr>
          <c:marker>
            <c:symbol val="circle"/>
            <c:size val="5"/>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'Green Street National'!$A$13:$A$18</c:f>
              <c:numCache>
                <c:formatCode>General</c:formatCode>
                <c:ptCount val="6"/>
                <c:pt idx="0">
                  <c:v>2025</c:v>
                </c:pt>
                <c:pt idx="1">
                  <c:v>2026</c:v>
                </c:pt>
                <c:pt idx="2">
                  <c:v>2027</c:v>
                </c:pt>
                <c:pt idx="3">
                  <c:v>2028</c:v>
                </c:pt>
                <c:pt idx="4">
                  <c:v>2029</c:v>
                </c:pt>
                <c:pt idx="5">
                  <c:v>2030</c:v>
                </c:pt>
              </c:numCache>
            </c:numRef>
          </c:xVal>
          <c:yVal>
            <c:numRef>
              <c:f>'Green Street National'!$C$13:$C$18</c:f>
              <c:numCache>
                <c:formatCode>0.00%</c:formatCode>
                <c:ptCount val="6"/>
                <c:pt idx="0">
                  <c:v>0.003249</c:v>
                </c:pt>
                <c:pt idx="1">
                  <c:v>0.02318629</c:v>
                </c:pt>
                <c:pt idx="2">
                  <c:v>0.02469338</c:v>
                </c:pt>
                <c:pt idx="3">
                  <c:v>0.03493457</c:v>
                </c:pt>
                <c:pt idx="4">
                  <c:v>0.03015955</c:v>
                </c:pt>
                <c:pt idx="5">
                  <c:v>0.02999998</c:v>
                </c:pt>
              </c:numCache>
            </c:numRef>
          </c:yVal>
          <c:smooth val="0"/>
        </c:ser>
        <c:axId val="8739160"/>
        <c:axId val="59891622"/>
      </c:scatterChart>
      <c:valAx>
        <c:axId val="8739160"/>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59891622"/>
        <c:crosses val="autoZero"/>
        <c:crossBetween val="midCat"/>
        <c:majorUnit val="1"/>
      </c:valAx>
      <c:valAx>
        <c:axId val="59891622"/>
        <c:scaling>
          <c:orientation val="minMax"/>
        </c:scaling>
        <c:delete val="0"/>
        <c:axPos val="l"/>
        <c:majorGridlines>
          <c:spPr>
            <a:ln w="0">
              <a:solidFill>
                <a:srgbClr val="b3b3b3"/>
              </a:solidFill>
            </a:ln>
          </c:spPr>
        </c:majorGridlines>
        <c:numFmt formatCode="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8739160"/>
        <c:crosses val="autoZero"/>
        <c:crossBetween val="midCat"/>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52.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Supply Reduction and Forecast Revenue Recovery (2016-2030): Supply Growth (% of Stock)
Green Street, 50-market weighted average; lighter bars are the Green Street forecast (2026-2030).</a:t>
            </a:r>
          </a:p>
        </c:rich>
      </c:tx>
      <c:overlay val="0"/>
      <c:spPr>
        <a:noFill/>
        <a:ln w="0">
          <a:noFill/>
        </a:ln>
      </c:spPr>
    </c:title>
    <c:autoTitleDeleted val="0"/>
    <c:plotArea>
      <c:layout>
        <c:manualLayout>
          <c:layoutTarget val="inner"/>
          <c:xMode val="edge"/>
          <c:yMode val="edge"/>
          <c:x val="0.100043050634169"/>
          <c:y val="0.16016016016016"/>
          <c:w val="0.799450276517535"/>
          <c:h val="0.61961961961962"/>
        </c:manualLayout>
      </c:layout>
      <c:barChart>
        <c:barDir val="col"/>
        <c:grouping val="stacked"/>
        <c:varyColors val="0"/>
        <c:ser>
          <c:idx val="0"/>
          <c:order val="0"/>
          <c:tx>
            <c:strRef>
              <c:f>"Supply Growth, actual"</c:f>
              <c:strCache>
                <c:ptCount val="1"/>
                <c:pt idx="0">
                  <c:v>Supply Growth, actual</c:v>
                </c:pt>
              </c:strCache>
            </c:strRef>
          </c:tx>
          <c:spPr>
            <a:solidFill>
              <a:srgbClr val="1f3b57"/>
            </a:solidFill>
            <a:ln w="0">
              <a:noFill/>
            </a:ln>
          </c:spPr>
          <c:invertIfNegative val="0"/>
          <c:dLbls>
            <c:txPr>
              <a:bodyPr wrap="square"/>
              <a:lstStyle/>
              <a:p>
                <a:pPr>
                  <a:defRPr b="0" sz="1000" spc="-1" strike="noStrike">
                    <a:solidFill>
                      <a:srgbClr val="000000"/>
                    </a:solidFill>
                    <a:latin typeface="Calibri"/>
                  </a:defRPr>
                </a:pPr>
              </a:p>
            </c:txPr>
            <c:dLblPos val="ct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'Green Street National'!$A$4:$A$18</c:f>
              <c:strCache>
                <c:ptCount val="1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strCache>
            </c:strRef>
          </c:cat>
          <c:val>
            <c:numRef>
              <c:f>'Green Street National'!$H$4:$H$18</c:f>
              <c:numCache>
                <c:formatCode>0.00%</c:formatCode>
                <c:ptCount val="15"/>
                <c:pt idx="0">
                  <c:v>0.0149858</c:v>
                </c:pt>
                <c:pt idx="1">
                  <c:v>0.01686709</c:v>
                </c:pt>
                <c:pt idx="2">
                  <c:v>0.01575162</c:v>
                </c:pt>
                <c:pt idx="3">
                  <c:v>0.0159728</c:v>
                </c:pt>
                <c:pt idx="4">
                  <c:v>0.01823612</c:v>
                </c:pt>
                <c:pt idx="5">
                  <c:v>0.01970652</c:v>
                </c:pt>
                <c:pt idx="6">
                  <c:v>0.02073482</c:v>
                </c:pt>
                <c:pt idx="7">
                  <c:v>0.02301904</c:v>
                </c:pt>
                <c:pt idx="8">
                  <c:v>0.0283895</c:v>
                </c:pt>
                <c:pt idx="9">
                  <c:v>0.02216701</c:v>
                </c:pt>
              </c:numCache>
            </c:numRef>
          </c:val>
        </c:ser>
        <c:ser>
          <c:idx val="1"/>
          <c:order val="1"/>
          <c:tx>
            <c:strRef>
              <c:f>"Supply Growth, Green Street forecast"</c:f>
              <c:strCache>
                <c:ptCount val="1"/>
                <c:pt idx="0">
                  <c:v>Supply Growth, Green Street forecast</c:v>
                </c:pt>
              </c:strCache>
            </c:strRef>
          </c:tx>
          <c:spPr>
            <a:solidFill>
              <a:srgbClr val="a9bcd1"/>
            </a:solidFill>
            <a:ln w="0">
              <a:noFill/>
            </a:ln>
          </c:spPr>
          <c:invertIfNegative val="0"/>
          <c:dLbls>
            <c:txPr>
              <a:bodyPr wrap="square"/>
              <a:lstStyle/>
              <a:p>
                <a:pPr>
                  <a:defRPr b="0" sz="1000" spc="-1" strike="noStrike">
                    <a:solidFill>
                      <a:srgbClr val="000000"/>
                    </a:solidFill>
                    <a:latin typeface="Calibri"/>
                  </a:defRPr>
                </a:pPr>
              </a:p>
            </c:txPr>
            <c:dLblPos val="ct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'Green Street National'!$A$4:$A$18</c:f>
              <c:strCache>
                <c:ptCount val="1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strCache>
            </c:strRef>
          </c:cat>
          <c:val>
            <c:numRef>
              <c:f>'Green Street National'!$I$4:$I$18</c:f>
              <c:numCache>
                <c:formatCode>0.00%</c:formatCode>
                <c:ptCount val="15"/>
                <c:pt idx="10">
                  <c:v>0.01712276</c:v>
                </c:pt>
                <c:pt idx="11">
                  <c:v>0.013</c:v>
                </c:pt>
                <c:pt idx="12">
                  <c:v>0.012</c:v>
                </c:pt>
                <c:pt idx="13">
                  <c:v>0.013</c:v>
                </c:pt>
                <c:pt idx="14">
                  <c:v>0.013</c:v>
                </c:pt>
              </c:numCache>
            </c:numRef>
          </c:val>
        </c:ser>
        <c:gapWidth val="150"/>
        <c:overlap val="100"/>
        <c:axId val="79304156"/>
        <c:axId val="41288728"/>
      </c:barChart>
      <c:catAx>
        <c:axId val="79304156"/>
        <c:scaling>
          <c:orientation val="minMax"/>
        </c:scaling>
        <c:delete val="0"/>
        <c:axPos val="b"/>
        <c:numFmt formatCode="General"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41288728"/>
        <c:crosses val="autoZero"/>
        <c:auto val="1"/>
        <c:lblAlgn val="ctr"/>
        <c:lblOffset val="100"/>
        <c:noMultiLvlLbl val="0"/>
      </c:catAx>
      <c:valAx>
        <c:axId val="41288728"/>
        <c:scaling>
          <c:orientation val="minMax"/>
        </c:scaling>
        <c:delete val="0"/>
        <c:axPos val="l"/>
        <c:majorGridlines>
          <c:spPr>
            <a:ln w="0">
              <a:solidFill>
                <a:srgbClr val="b3b3b3"/>
              </a:solidFill>
            </a:ln>
          </c:spPr>
        </c:majorGridlines>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79304156"/>
        <c:crosses val="autoZero"/>
        <c:crossBetween val="between"/>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6.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Annual NOI (labeled YoY growth) and Stabilized TEV: Gross NOI Multiple (2016-2025)</a:t>
            </a:r>
          </a:p>
        </c:rich>
      </c:tx>
      <c:overlay val="0"/>
      <c:spPr>
        <a:noFill/>
        <a:ln w="0">
          <a:noFill/>
        </a:ln>
      </c:spPr>
    </c:title>
    <c:autoTitleDeleted val="0"/>
    <c:plotArea>
      <c:layout>
        <c:manualLayout>
          <c:layoutTarget val="inner"/>
          <c:xMode val="edge"/>
          <c:yMode val="edge"/>
          <c:x val="0.0900420571579958"/>
          <c:y val="0.2002002002002"/>
          <c:w val="0.819485379342319"/>
          <c:h val="0.55955955955956"/>
        </c:manualLayout>
      </c:layout>
      <c:barChart>
        <c:barDir val="col"/>
        <c:grouping val="stacked"/>
        <c:varyColors val="0"/>
        <c:ser>
          <c:idx val="0"/>
          <c:order val="0"/>
          <c:tx>
            <c:strRef>
              <c:f>"Annual NOI ($M)"</c:f>
              <c:strCache>
                <c:ptCount val="1"/>
                <c:pt idx="0">
                  <c:v>Annual NOI ($M)</c:v>
                </c:pt>
              </c:strCache>
            </c:strRef>
          </c:tx>
          <c:spPr>
            <a:solidFill>
              <a:srgbClr val="a31f34"/>
            </a:solidFill>
            <a:ln w="0">
              <a:noFill/>
            </a:ln>
          </c:spPr>
          <c:invertIfNegative val="0"/>
          <c:dPt>
            <c:idx val="1"/>
            <c:invertIfNegative val="0"/>
            <c:spPr>
              <a:solidFill>
                <a:srgbClr val="a31f34"/>
              </a:solidFill>
              <a:ln w="0">
                <a:noFill/>
              </a:ln>
            </c:spPr>
          </c:dPt>
          <c:dPt>
            <c:idx val="2"/>
            <c:invertIfNegative val="0"/>
            <c:spPr>
              <a:solidFill>
                <a:srgbClr val="a31f34"/>
              </a:solidFill>
              <a:ln w="0">
                <a:noFill/>
              </a:ln>
            </c:spPr>
          </c:dPt>
          <c:dPt>
            <c:idx val="3"/>
            <c:invertIfNegative val="0"/>
            <c:spPr>
              <a:solidFill>
                <a:srgbClr val="a31f34"/>
              </a:solidFill>
              <a:ln w="0">
                <a:noFill/>
              </a:ln>
            </c:spPr>
          </c:dPt>
          <c:dPt>
            <c:idx val="4"/>
            <c:invertIfNegative val="0"/>
            <c:spPr>
              <a:solidFill>
                <a:srgbClr val="a31f34"/>
              </a:solidFill>
              <a:ln w="0">
                <a:noFill/>
              </a:ln>
            </c:spPr>
          </c:dPt>
          <c:dPt>
            <c:idx val="5"/>
            <c:invertIfNegative val="0"/>
            <c:spPr>
              <a:solidFill>
                <a:srgbClr val="a31f34"/>
              </a:solidFill>
              <a:ln w="0">
                <a:noFill/>
              </a:ln>
            </c:spPr>
          </c:dPt>
          <c:dPt>
            <c:idx val="6"/>
            <c:invertIfNegative val="0"/>
            <c:spPr>
              <a:solidFill>
                <a:srgbClr val="a31f34"/>
              </a:solidFill>
              <a:ln w="0">
                <a:noFill/>
              </a:ln>
            </c:spPr>
          </c:dPt>
          <c:dPt>
            <c:idx val="7"/>
            <c:invertIfNegative val="0"/>
            <c:spPr>
              <a:solidFill>
                <a:srgbClr val="a31f34"/>
              </a:solidFill>
              <a:ln w="0">
                <a:noFill/>
              </a:ln>
            </c:spPr>
          </c:dPt>
          <c:dPt>
            <c:idx val="8"/>
            <c:invertIfNegative val="0"/>
            <c:spPr>
              <a:solidFill>
                <a:srgbClr val="a31f34"/>
              </a:solidFill>
              <a:ln w="0">
                <a:noFill/>
              </a:ln>
            </c:spPr>
          </c:dPt>
          <c:dPt>
            <c:idx val="9"/>
            <c:invertIfNegative val="0"/>
            <c:spPr>
              <a:solidFill>
                <a:srgbClr val="a31f34"/>
              </a:solidFill>
              <a:ln w="0">
                <a:noFill/>
              </a:ln>
            </c:spPr>
          </c:dPt>
          <c:dLbls>
            <c:dLbl>
              <c:idx val="1"/>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+6%</a:t>
                    </a:r>
                  </a:p>
                </c:rich>
              </c:tx>
              <c:dLblPos val="inEnd"/>
              <c:showLegendKey val="0"/>
              <c:showVal val="0"/>
              <c:showCatName val="0"/>
              <c:showSerName val="0"/>
              <c:showPercent val="0"/>
              <c:separator>; </c:separator>
            </c:dLbl>
            <c:dLbl>
              <c:idx val="2"/>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+3%</a:t>
                    </a:r>
                  </a:p>
                </c:rich>
              </c:tx>
              <c:dLblPos val="inEnd"/>
              <c:showLegendKey val="0"/>
              <c:showVal val="0"/>
              <c:showCatName val="0"/>
              <c:showSerName val="0"/>
              <c:showPercent val="0"/>
              <c:separator>; </c:separator>
            </c:dLbl>
            <c:dLbl>
              <c:idx val="3"/>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+6%</a:t>
                    </a:r>
                  </a:p>
                </c:rich>
              </c:tx>
              <c:dLblPos val="inEnd"/>
              <c:showLegendKey val="0"/>
              <c:showVal val="0"/>
              <c:showCatName val="0"/>
              <c:showSerName val="0"/>
              <c:showPercent val="0"/>
              <c:separator>; </c:separator>
            </c:dLbl>
            <c:dLbl>
              <c:idx val="4"/>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-5%</a:t>
                    </a:r>
                  </a:p>
                </c:rich>
              </c:tx>
              <c:dLblPos val="inEnd"/>
              <c:showLegendKey val="0"/>
              <c:showVal val="0"/>
              <c:showCatName val="0"/>
              <c:showSerName val="0"/>
              <c:showPercent val="0"/>
              <c:separator>; </c:separator>
            </c:dLbl>
            <c:dLbl>
              <c:idx val="5"/>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-2%</a:t>
                    </a:r>
                  </a:p>
                </c:rich>
              </c:tx>
              <c:dLblPos val="inEnd"/>
              <c:showLegendKey val="0"/>
              <c:showVal val="0"/>
              <c:showCatName val="0"/>
              <c:showSerName val="0"/>
              <c:showPercent val="0"/>
              <c:separator>; </c:separator>
            </c:dLbl>
            <c:dLbl>
              <c:idx val="6"/>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+17%</a:t>
                    </a:r>
                  </a:p>
                </c:rich>
              </c:tx>
              <c:dLblPos val="inEnd"/>
              <c:showLegendKey val="0"/>
              <c:showVal val="0"/>
              <c:showCatName val="0"/>
              <c:showSerName val="0"/>
              <c:showPercent val="0"/>
              <c:separator>; </c:separator>
            </c:dLbl>
            <c:dLbl>
              <c:idx val="7"/>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+7%</a:t>
                    </a:r>
                  </a:p>
                </c:rich>
              </c:tx>
              <c:dLblPos val="inEnd"/>
              <c:showLegendKey val="0"/>
              <c:showVal val="0"/>
              <c:showCatName val="0"/>
              <c:showSerName val="0"/>
              <c:showPercent val="0"/>
              <c:separator>; </c:separator>
            </c:dLbl>
            <c:dLbl>
              <c:idx val="8"/>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+5%</a:t>
                    </a:r>
                  </a:p>
                </c:rich>
              </c:tx>
              <c:dLblPos val="inEnd"/>
              <c:showLegendKey val="0"/>
              <c:showVal val="0"/>
              <c:showCatName val="0"/>
              <c:showSerName val="0"/>
              <c:showPercent val="0"/>
              <c:separator>; </c:separator>
            </c:dLbl>
            <c:dLbl>
              <c:idx val="9"/>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+2%</a:t>
                    </a:r>
                  </a:p>
                </c:rich>
              </c:tx>
              <c:dLblPos val="inEnd"/>
              <c:showLegendKey val="0"/>
              <c:showVal val="0"/>
              <c:showCatName val="0"/>
              <c:showSerName val="0"/>
              <c:showPercent val="0"/>
              <c:separator>; </c:separator>
            </c:dLbl>
            <c:txPr>
              <a:bodyPr wrap="square"/>
              <a:lstStyle/>
              <a:p>
                <a:pPr>
                  <a:defRPr b="0" sz="1000" spc="-1" strike="noStrike">
                    <a:solidFill>
                      <a:srgbClr val="000000"/>
                    </a:solidFill>
                    <a:latin typeface="Calibri"/>
                  </a:defRPr>
                </a:pPr>
              </a:p>
            </c:txPr>
            <c:dLblPos val="ct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'AVB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'AVB vs Market'!$L$4:$L$13</c:f>
              <c:numCache>
                <c:formatCode>#,##0</c:formatCode>
                <c:ptCount val="10"/>
                <c:pt idx="0">
                  <c:v>1410.697</c:v>
                </c:pt>
                <c:pt idx="1">
                  <c:v>1490.068</c:v>
                </c:pt>
                <c:pt idx="2">
                  <c:v>1539.586</c:v>
                </c:pt>
                <c:pt idx="3">
                  <c:v>1627.21</c:v>
                </c:pt>
                <c:pt idx="4">
                  <c:v>1547.19</c:v>
                </c:pt>
                <c:pt idx="5">
                  <c:v>1514.678</c:v>
                </c:pt>
                <c:pt idx="6">
                  <c:v>1765.786</c:v>
                </c:pt>
                <c:pt idx="7">
                  <c:v>1886.748</c:v>
                </c:pt>
                <c:pt idx="8">
                  <c:v>1974.431</c:v>
                </c:pt>
                <c:pt idx="9">
                  <c:v>2020.949</c:v>
                </c:pt>
              </c:numCache>
            </c:numRef>
          </c:val>
        </c:ser>
        <c:ser>
          <c:idx val="1"/>
          <c:order val="1"/>
          <c:tx>
            <c:strRef>
              <c:f>"Stabilized TEV less NOI ($M)"</c:f>
              <c:strCache>
                <c:ptCount val="1"/>
                <c:pt idx="0">
                  <c:v>Stabilized TEV less NOI ($M)</c:v>
                </c:pt>
              </c:strCache>
            </c:strRef>
          </c:tx>
          <c:spPr>
            <a:solidFill>
              <a:srgbClr val="d9d9d9"/>
            </a:solidFill>
            <a:ln w="0">
              <a:noFill/>
            </a:ln>
          </c:spPr>
          <c:invertIfNegative val="0"/>
          <c:dLbls>
            <c:txPr>
              <a:bodyPr wrap="square"/>
              <a:lstStyle/>
              <a:p>
                <a:pPr>
                  <a:defRPr b="0" sz="1000" spc="-1" strike="noStrike">
                    <a:solidFill>
                      <a:srgbClr val="000000"/>
                    </a:solidFill>
                    <a:latin typeface="Calibri"/>
                  </a:defRPr>
                </a:pPr>
              </a:p>
            </c:txPr>
            <c:dLblPos val="ct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'AVB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'AVB vs Market'!$Q$4:$Q$13</c:f>
              <c:numCache>
                <c:formatCode>#,##0</c:formatCode>
                <c:ptCount val="10"/>
                <c:pt idx="0">
                  <c:v>27983.1262686</c:v>
                </c:pt>
                <c:pt idx="1">
                  <c:v>29103.45409014</c:v>
                </c:pt>
                <c:pt idx="2">
                  <c:v>27756.5295722</c:v>
                </c:pt>
                <c:pt idx="3">
                  <c:v>33859.9405814</c:v>
                </c:pt>
                <c:pt idx="4">
                  <c:v>27302.70705353</c:v>
                </c:pt>
                <c:pt idx="5">
                  <c:v>40936.05541334</c:v>
                </c:pt>
                <c:pt idx="6">
                  <c:v>27899.09527328</c:v>
                </c:pt>
                <c:pt idx="7">
                  <c:v>31217.10287232</c:v>
                </c:pt>
                <c:pt idx="8">
                  <c:v>36199.84021934</c:v>
                </c:pt>
                <c:pt idx="9">
                  <c:v>31315.26861412</c:v>
                </c:pt>
              </c:numCache>
            </c:numRef>
          </c:val>
        </c:ser>
        <c:gapWidth val="150"/>
        <c:overlap val="100"/>
        <c:axId val="58281011"/>
        <c:axId val="38237485"/>
      </c:barChart>
      <c:lineChart>
        <c:grouping val="stacked"/>
        <c:varyColors val="0"/>
        <c:ser>
          <c:idx val="2"/>
          <c:order val="2"/>
          <c:tx>
            <c:strRef>
              <c:f>"Gross NOI Multiple (right)"</c:f>
              <c:strCache>
                <c:ptCount val="1"/>
                <c:pt idx="0">
                  <c:v>Gross NOI Multiple (right)</c:v>
                </c:pt>
              </c:strCache>
            </c:strRef>
          </c:tx>
          <c:spPr>
            <a:solidFill>
              <a:srgbClr val="1f3b57"/>
            </a:solidFill>
            <a:ln w="28440">
              <a:solidFill>
                <a:srgbClr val="1f3b57"/>
              </a:solidFill>
              <a:round/>
            </a:ln>
          </c:spPr>
          <c:marker>
            <c:symbol val="circle"/>
            <c:size val="5"/>
            <c:spPr>
              <a:solidFill>
                <a:srgbClr val="1f3b57"/>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'AVB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'AVB vs Market'!$J$4:$J$13</c:f>
              <c:numCache>
                <c:formatCode>0.0</c:formatCode>
                <c:ptCount val="10"/>
                <c:pt idx="0">
                  <c:v>20.8363831982346</c:v>
                </c:pt>
                <c:pt idx="1">
                  <c:v>20.5316281472658</c:v>
                </c:pt>
                <c:pt idx="2">
                  <c:v>19.0285671422058</c:v>
                </c:pt>
                <c:pt idx="3">
                  <c:v>21.8085868335372</c:v>
                </c:pt>
                <c:pt idx="4">
                  <c:v>18.6466413650101</c:v>
                </c:pt>
                <c:pt idx="5">
                  <c:v>28.0262428142087</c:v>
                </c:pt>
                <c:pt idx="6">
                  <c:v>16.7998167803347</c:v>
                </c:pt>
                <c:pt idx="7">
                  <c:v>17.5454543332337</c:v>
                </c:pt>
                <c:pt idx="8">
                  <c:v>19.3343151618568</c:v>
                </c:pt>
                <c:pt idx="9">
                  <c:v>16.495328488804</c:v>
                </c:pt>
              </c:numCache>
            </c:numRef>
          </c:val>
          <c:smooth val="0"/>
        </c:ser>
        <c:hiLowLines>
          <c:spPr>
            <a:ln w="0">
              <a:noFill/>
            </a:ln>
          </c:spPr>
        </c:hiLowLines>
        <c:marker val="1"/>
        <c:axId val="32332410"/>
        <c:axId val="82422658"/>
      </c:lineChart>
      <c:catAx>
        <c:axId val="58281011"/>
        <c:scaling>
          <c:orientation val="minMax"/>
        </c:scaling>
        <c:delete val="0"/>
        <c:axPos val="b"/>
        <c:numFmt formatCode="General"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38237485"/>
        <c:crosses val="autoZero"/>
        <c:auto val="1"/>
        <c:lblAlgn val="ctr"/>
        <c:lblOffset val="100"/>
        <c:noMultiLvlLbl val="0"/>
      </c:catAx>
      <c:valAx>
        <c:axId val="38237485"/>
        <c:scaling>
          <c:orientation val="minMax"/>
          <c:min val="0"/>
        </c:scaling>
        <c:delete val="0"/>
        <c:axPos val="l"/>
        <c:majorGridlines>
          <c:spPr>
            <a:ln w="0">
              <a:solidFill>
                <a:srgbClr val="b3b3b3"/>
              </a:solidFill>
            </a:ln>
          </c:spPr>
        </c:majorGridlines>
        <c:numFmt formatCode="#,##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58281011"/>
        <c:crosses val="autoZero"/>
        <c:crossBetween val="between"/>
      </c:valAx>
      <c:catAx>
        <c:axId val="32332410"/>
        <c:scaling>
          <c:orientation val="minMax"/>
        </c:scaling>
        <c:delete val="1"/>
        <c:axPos val="t"/>
        <c:numFmt formatCode="General" sourceLinked="1"/>
        <c:majorTickMark val="none"/>
        <c:minorTickMark val="none"/>
        <c:tickLblPos val="none"/>
        <c:spPr>
          <a:ln w="0">
            <a:solidFill>
              <a:srgbClr val="b3b3b3"/>
            </a:solidFill>
          </a:ln>
        </c:spPr>
        <c:txPr>
          <a:bodyPr/>
          <a:lstStyle/>
          <a:p>
            <a:pPr>
              <a:defRPr b="0" sz="1000" spc="-1" strike="noStrike">
                <a:solidFill>
                  <a:srgbClr val="000000"/>
                </a:solidFill>
                <a:latin typeface="Calibri"/>
              </a:defRPr>
            </a:pPr>
          </a:p>
        </c:txPr>
        <c:crossAx val="82422658"/>
        <c:auto val="1"/>
        <c:lblAlgn val="ctr"/>
        <c:lblOffset val="100"/>
        <c:noMultiLvlLbl val="0"/>
      </c:catAx>
      <c:valAx>
        <c:axId val="82422658"/>
        <c:scaling>
          <c:orientation val="minMax"/>
        </c:scaling>
        <c:delete val="0"/>
        <c:axPos val="r"/>
        <c:numFmt formatCode="0.0\x"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32332410"/>
        <c:crosses val="max"/>
        <c:crossBetween val="between"/>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7.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Leveraged Cash Flow (labeled YoY growth) and Stabilized Market Cap: Leveraged NOI Multiple (2016-2025)</a:t>
            </a:r>
          </a:p>
        </c:rich>
      </c:tx>
      <c:overlay val="0"/>
      <c:spPr>
        <a:noFill/>
        <a:ln w="0">
          <a:noFill/>
        </a:ln>
      </c:spPr>
    </c:title>
    <c:autoTitleDeleted val="0"/>
    <c:plotArea>
      <c:layout>
        <c:manualLayout>
          <c:layoutTarget val="inner"/>
          <c:xMode val="edge"/>
          <c:yMode val="edge"/>
          <c:x val="0.0900420571579958"/>
          <c:y val="0.2002002002002"/>
          <c:w val="0.819485379342319"/>
          <c:h val="0.55955955955956"/>
        </c:manualLayout>
      </c:layout>
      <c:barChart>
        <c:barDir val="col"/>
        <c:grouping val="stacked"/>
        <c:varyColors val="0"/>
        <c:ser>
          <c:idx val="0"/>
          <c:order val="0"/>
          <c:tx>
            <c:strRef>
              <c:f>"Leveraged Property Cash Flow ($M)"</c:f>
              <c:strCache>
                <c:ptCount val="1"/>
                <c:pt idx="0">
                  <c:v>Leveraged Property Cash Flow ($M)</c:v>
                </c:pt>
              </c:strCache>
            </c:strRef>
          </c:tx>
          <c:spPr>
            <a:solidFill>
              <a:srgbClr val="a31f34"/>
            </a:solidFill>
            <a:ln w="0">
              <a:noFill/>
            </a:ln>
          </c:spPr>
          <c:invertIfNegative val="0"/>
          <c:dPt>
            <c:idx val="1"/>
            <c:invertIfNegative val="0"/>
            <c:spPr>
              <a:solidFill>
                <a:srgbClr val="a31f34"/>
              </a:solidFill>
              <a:ln w="0">
                <a:noFill/>
              </a:ln>
            </c:spPr>
          </c:dPt>
          <c:dPt>
            <c:idx val="2"/>
            <c:invertIfNegative val="0"/>
            <c:spPr>
              <a:solidFill>
                <a:srgbClr val="a31f34"/>
              </a:solidFill>
              <a:ln w="0">
                <a:noFill/>
              </a:ln>
            </c:spPr>
          </c:dPt>
          <c:dPt>
            <c:idx val="3"/>
            <c:invertIfNegative val="0"/>
            <c:spPr>
              <a:solidFill>
                <a:srgbClr val="a31f34"/>
              </a:solidFill>
              <a:ln w="0">
                <a:noFill/>
              </a:ln>
            </c:spPr>
          </c:dPt>
          <c:dPt>
            <c:idx val="4"/>
            <c:invertIfNegative val="0"/>
            <c:spPr>
              <a:solidFill>
                <a:srgbClr val="a31f34"/>
              </a:solidFill>
              <a:ln w="0">
                <a:noFill/>
              </a:ln>
            </c:spPr>
          </c:dPt>
          <c:dPt>
            <c:idx val="5"/>
            <c:invertIfNegative val="0"/>
            <c:spPr>
              <a:solidFill>
                <a:srgbClr val="a31f34"/>
              </a:solidFill>
              <a:ln w="0">
                <a:noFill/>
              </a:ln>
            </c:spPr>
          </c:dPt>
          <c:dPt>
            <c:idx val="6"/>
            <c:invertIfNegative val="0"/>
            <c:spPr>
              <a:solidFill>
                <a:srgbClr val="a31f34"/>
              </a:solidFill>
              <a:ln w="0">
                <a:noFill/>
              </a:ln>
            </c:spPr>
          </c:dPt>
          <c:dPt>
            <c:idx val="7"/>
            <c:invertIfNegative val="0"/>
            <c:spPr>
              <a:solidFill>
                <a:srgbClr val="a31f34"/>
              </a:solidFill>
              <a:ln w="0">
                <a:noFill/>
              </a:ln>
            </c:spPr>
          </c:dPt>
          <c:dPt>
            <c:idx val="8"/>
            <c:invertIfNegative val="0"/>
            <c:spPr>
              <a:solidFill>
                <a:srgbClr val="a31f34"/>
              </a:solidFill>
              <a:ln w="0">
                <a:noFill/>
              </a:ln>
            </c:spPr>
          </c:dPt>
          <c:dPt>
            <c:idx val="9"/>
            <c:invertIfNegative val="0"/>
            <c:spPr>
              <a:solidFill>
                <a:srgbClr val="a31f34"/>
              </a:solidFill>
              <a:ln w="0">
                <a:noFill/>
              </a:ln>
            </c:spPr>
          </c:dPt>
          <c:dLbls>
            <c:dLbl>
              <c:idx val="1"/>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+5%</a:t>
                    </a:r>
                  </a:p>
                </c:rich>
              </c:tx>
              <c:dLblPos val="inEnd"/>
              <c:showLegendKey val="0"/>
              <c:showVal val="0"/>
              <c:showCatName val="0"/>
              <c:showSerName val="0"/>
              <c:showPercent val="0"/>
              <c:separator>; </c:separator>
            </c:dLbl>
            <c:dLbl>
              <c:idx val="2"/>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+2%</a:t>
                    </a:r>
                  </a:p>
                </c:rich>
              </c:tx>
              <c:dLblPos val="inEnd"/>
              <c:showLegendKey val="0"/>
              <c:showVal val="0"/>
              <c:showCatName val="0"/>
              <c:showSerName val="0"/>
              <c:showPercent val="0"/>
              <c:separator>; </c:separator>
            </c:dLbl>
            <c:dLbl>
              <c:idx val="3"/>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+8%</a:t>
                    </a:r>
                  </a:p>
                </c:rich>
              </c:tx>
              <c:dLblPos val="inEnd"/>
              <c:showLegendKey val="0"/>
              <c:showVal val="0"/>
              <c:showCatName val="0"/>
              <c:showSerName val="0"/>
              <c:showPercent val="0"/>
              <c:separator>; </c:separator>
            </c:dLbl>
            <c:dLbl>
              <c:idx val="4"/>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-6%</a:t>
                    </a:r>
                  </a:p>
                </c:rich>
              </c:tx>
              <c:dLblPos val="inEnd"/>
              <c:showLegendKey val="0"/>
              <c:showVal val="0"/>
              <c:showCatName val="0"/>
              <c:showSerName val="0"/>
              <c:showPercent val="0"/>
              <c:separator>; </c:separator>
            </c:dLbl>
            <c:dLbl>
              <c:idx val="5"/>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-3%</a:t>
                    </a:r>
                  </a:p>
                </c:rich>
              </c:tx>
              <c:dLblPos val="inEnd"/>
              <c:showLegendKey val="0"/>
              <c:showVal val="0"/>
              <c:showCatName val="0"/>
              <c:showSerName val="0"/>
              <c:showPercent val="0"/>
              <c:separator>; </c:separator>
            </c:dLbl>
            <c:dLbl>
              <c:idx val="6"/>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+19%</a:t>
                    </a:r>
                  </a:p>
                </c:rich>
              </c:tx>
              <c:dLblPos val="inEnd"/>
              <c:showLegendKey val="0"/>
              <c:showVal val="0"/>
              <c:showCatName val="0"/>
              <c:showSerName val="0"/>
              <c:showPercent val="0"/>
              <c:separator>; </c:separator>
            </c:dLbl>
            <c:dLbl>
              <c:idx val="7"/>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+9%</a:t>
                    </a:r>
                  </a:p>
                </c:rich>
              </c:tx>
              <c:dLblPos val="inEnd"/>
              <c:showLegendKey val="0"/>
              <c:showVal val="0"/>
              <c:showCatName val="0"/>
              <c:showSerName val="0"/>
              <c:showPercent val="0"/>
              <c:separator>; </c:separator>
            </c:dLbl>
            <c:dLbl>
              <c:idx val="8"/>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+4%</a:t>
                    </a:r>
                  </a:p>
                </c:rich>
              </c:tx>
              <c:dLblPos val="inEnd"/>
              <c:showLegendKey val="0"/>
              <c:showVal val="0"/>
              <c:showCatName val="0"/>
              <c:showSerName val="0"/>
              <c:showPercent val="0"/>
              <c:separator>; </c:separator>
            </c:dLbl>
            <c:dLbl>
              <c:idx val="9"/>
              <c:layout>
                <c:manualLayout>
                  <c:x val="0"/>
                  <c:y val="-0.06"/>
                </c:manualLayout>
              </c:layout>
              <c:txPr>
                <a:bodyPr wrap="square"/>
                <a:lstStyle/>
                <a:p>
                  <a:pPr>
                    <a:defRPr b="0" sz="1000" spc="-1" strike="noStrike">
                      <a:solidFill>
                        <a:srgbClr val="000000"/>
                      </a:solidFill>
                      <a:latin typeface="Calibri"/>
                    </a:defRPr>
                  </a:pPr>
                </a:p>
              </c:txPr>
              <c:tx>
                <c:rich>
                  <a:bodyPr/>
                  <a:p>
                    <a:r>
                      <a:rPr b="1" lang="en-US" sz="1000" spc="-1" strike="noStrike">
                        <a:solidFill>
                          <a:srgbClr val="a31f34"/>
                        </a:solidFill>
                        <a:latin typeface="Calibri"/>
                      </a:rPr>
                      <a:t>+1%</a:t>
                    </a:r>
                  </a:p>
                </c:rich>
              </c:tx>
              <c:dLblPos val="inEnd"/>
              <c:showLegendKey val="0"/>
              <c:showVal val="0"/>
              <c:showCatName val="0"/>
              <c:showSerName val="0"/>
              <c:showPercent val="0"/>
              <c:separator>; </c:separator>
            </c:dLbl>
            <c:txPr>
              <a:bodyPr wrap="square"/>
              <a:lstStyle/>
              <a:p>
                <a:pPr>
                  <a:defRPr b="0" sz="1000" spc="-1" strike="noStrike">
                    <a:solidFill>
                      <a:srgbClr val="000000"/>
                    </a:solidFill>
                    <a:latin typeface="Calibri"/>
                  </a:defRPr>
                </a:pPr>
              </a:p>
            </c:txPr>
            <c:dLblPos val="ct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'AVB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'AVB vs Market'!$N$4:$N$13</c:f>
              <c:numCache>
                <c:formatCode>#,##0</c:formatCode>
                <c:ptCount val="10"/>
                <c:pt idx="0">
                  <c:v>1223.187</c:v>
                </c:pt>
                <c:pt idx="1">
                  <c:v>1290.407</c:v>
                </c:pt>
                <c:pt idx="2">
                  <c:v>1318.612</c:v>
                </c:pt>
                <c:pt idx="3">
                  <c:v>1423.625</c:v>
                </c:pt>
                <c:pt idx="4">
                  <c:v>1333.039</c:v>
                </c:pt>
                <c:pt idx="5">
                  <c:v>1294.263</c:v>
                </c:pt>
                <c:pt idx="6">
                  <c:v>1535.712</c:v>
                </c:pt>
                <c:pt idx="7">
                  <c:v>1680.756</c:v>
                </c:pt>
                <c:pt idx="8">
                  <c:v>1747.842</c:v>
                </c:pt>
                <c:pt idx="9">
                  <c:v>1761.768</c:v>
                </c:pt>
              </c:numCache>
            </c:numRef>
          </c:val>
        </c:ser>
        <c:ser>
          <c:idx val="1"/>
          <c:order val="1"/>
          <c:tx>
            <c:strRef>
              <c:f>"Stabilized Market Cap less Leveraged CF ($M)"</c:f>
              <c:strCache>
                <c:ptCount val="1"/>
                <c:pt idx="0">
                  <c:v>Stabilized Market Cap less Leveraged CF ($M)</c:v>
                </c:pt>
              </c:strCache>
            </c:strRef>
          </c:tx>
          <c:spPr>
            <a:solidFill>
              <a:srgbClr val="d9d9d9"/>
            </a:solidFill>
            <a:ln w="0">
              <a:noFill/>
            </a:ln>
          </c:spPr>
          <c:invertIfNegative val="0"/>
          <c:dLbls>
            <c:txPr>
              <a:bodyPr wrap="square"/>
              <a:lstStyle/>
              <a:p>
                <a:pPr>
                  <a:defRPr b="0" sz="1000" spc="-1" strike="noStrike">
                    <a:solidFill>
                      <a:srgbClr val="000000"/>
                    </a:solidFill>
                    <a:latin typeface="Calibri"/>
                  </a:defRPr>
                </a:pPr>
              </a:p>
            </c:txPr>
            <c:dLblPos val="ct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'AVB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'AVB vs Market'!$R$4:$R$13</c:f>
              <c:numCache>
                <c:formatCode>#,##0</c:formatCode>
                <c:ptCount val="10"/>
                <c:pt idx="0">
                  <c:v>21139.7562686</c:v>
                </c:pt>
                <c:pt idx="1">
                  <c:v>21973.64509014</c:v>
                </c:pt>
                <c:pt idx="2">
                  <c:v>20937.2405722</c:v>
                </c:pt>
                <c:pt idx="3">
                  <c:v>26767.2355814</c:v>
                </c:pt>
                <c:pt idx="4">
                  <c:v>19952.52105353</c:v>
                </c:pt>
                <c:pt idx="5">
                  <c:v>33052.92341334</c:v>
                </c:pt>
                <c:pt idx="6">
                  <c:v>19813.12427328</c:v>
                </c:pt>
                <c:pt idx="7">
                  <c:v>23441.27287232</c:v>
                </c:pt>
                <c:pt idx="8">
                  <c:v>28349.18021934</c:v>
                </c:pt>
                <c:pt idx="9">
                  <c:v>22245.89761412</c:v>
                </c:pt>
              </c:numCache>
            </c:numRef>
          </c:val>
        </c:ser>
        <c:gapWidth val="150"/>
        <c:overlap val="100"/>
        <c:axId val="15297419"/>
        <c:axId val="3351656"/>
      </c:barChart>
      <c:lineChart>
        <c:grouping val="stacked"/>
        <c:varyColors val="0"/>
        <c:ser>
          <c:idx val="2"/>
          <c:order val="2"/>
          <c:tx>
            <c:strRef>
              <c:f>"Leveraged NOI Multiple (right)"</c:f>
              <c:strCache>
                <c:ptCount val="1"/>
                <c:pt idx="0">
                  <c:v>Leveraged NOI Multiple (right)</c:v>
                </c:pt>
              </c:strCache>
            </c:strRef>
          </c:tx>
          <c:spPr>
            <a:solidFill>
              <a:srgbClr val="1f3b57"/>
            </a:solidFill>
            <a:ln w="28440">
              <a:solidFill>
                <a:srgbClr val="1f3b57"/>
              </a:solidFill>
              <a:round/>
            </a:ln>
          </c:spPr>
          <c:marker>
            <c:symbol val="circle"/>
            <c:size val="5"/>
            <c:spPr>
              <a:solidFill>
                <a:srgbClr val="1f3b57"/>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'AVB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'AVB vs Market'!$K$4:$K$13</c:f>
              <c:numCache>
                <c:formatCode>0.0</c:formatCode>
                <c:ptCount val="10"/>
                <c:pt idx="0">
                  <c:v>18.2825220253322</c:v>
                </c:pt>
                <c:pt idx="1">
                  <c:v>18.0284608578069</c:v>
                </c:pt>
                <c:pt idx="2">
                  <c:v>16.8782421001781</c:v>
                </c:pt>
                <c:pt idx="3">
                  <c:v>19.8021674116428</c:v>
                </c:pt>
                <c:pt idx="4">
                  <c:v>15.9676949087986</c:v>
                </c:pt>
                <c:pt idx="5">
                  <c:v>26.538026980096</c:v>
                </c:pt>
                <c:pt idx="6">
                  <c:v>13.9015884965931</c:v>
                </c:pt>
                <c:pt idx="7">
                  <c:v>14.9468625263393</c:v>
                </c:pt>
                <c:pt idx="8">
                  <c:v>17.2195325546245</c:v>
                </c:pt>
                <c:pt idx="9">
                  <c:v>13.627030127758</c:v>
                </c:pt>
              </c:numCache>
            </c:numRef>
          </c:val>
          <c:smooth val="0"/>
        </c:ser>
        <c:hiLowLines>
          <c:spPr>
            <a:ln w="0">
              <a:noFill/>
            </a:ln>
          </c:spPr>
        </c:hiLowLines>
        <c:marker val="1"/>
        <c:axId val="99899453"/>
        <c:axId val="98598200"/>
      </c:lineChart>
      <c:catAx>
        <c:axId val="15297419"/>
        <c:scaling>
          <c:orientation val="minMax"/>
        </c:scaling>
        <c:delete val="0"/>
        <c:axPos val="b"/>
        <c:numFmt formatCode="General"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3351656"/>
        <c:crosses val="autoZero"/>
        <c:auto val="1"/>
        <c:lblAlgn val="ctr"/>
        <c:lblOffset val="100"/>
        <c:noMultiLvlLbl val="0"/>
      </c:catAx>
      <c:valAx>
        <c:axId val="3351656"/>
        <c:scaling>
          <c:orientation val="minMax"/>
          <c:min val="0"/>
        </c:scaling>
        <c:delete val="0"/>
        <c:axPos val="l"/>
        <c:majorGridlines>
          <c:spPr>
            <a:ln w="0">
              <a:solidFill>
                <a:srgbClr val="b3b3b3"/>
              </a:solidFill>
            </a:ln>
          </c:spPr>
        </c:majorGridlines>
        <c:numFmt formatCode="#,##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15297419"/>
        <c:crosses val="autoZero"/>
        <c:crossBetween val="between"/>
      </c:valAx>
      <c:catAx>
        <c:axId val="99899453"/>
        <c:scaling>
          <c:orientation val="minMax"/>
        </c:scaling>
        <c:delete val="1"/>
        <c:axPos val="t"/>
        <c:numFmt formatCode="General" sourceLinked="1"/>
        <c:majorTickMark val="none"/>
        <c:minorTickMark val="none"/>
        <c:tickLblPos val="none"/>
        <c:spPr>
          <a:ln w="0">
            <a:solidFill>
              <a:srgbClr val="b3b3b3"/>
            </a:solidFill>
          </a:ln>
        </c:spPr>
        <c:txPr>
          <a:bodyPr/>
          <a:lstStyle/>
          <a:p>
            <a:pPr>
              <a:defRPr b="0" sz="1000" spc="-1" strike="noStrike">
                <a:solidFill>
                  <a:srgbClr val="000000"/>
                </a:solidFill>
                <a:latin typeface="Calibri"/>
              </a:defRPr>
            </a:pPr>
          </a:p>
        </c:txPr>
        <c:crossAx val="98598200"/>
        <c:auto val="1"/>
        <c:lblAlgn val="ctr"/>
        <c:lblOffset val="100"/>
        <c:noMultiLvlLbl val="0"/>
      </c:catAx>
      <c:valAx>
        <c:axId val="98598200"/>
        <c:scaling>
          <c:orientation val="minMax"/>
        </c:scaling>
        <c:delete val="0"/>
        <c:axPos val="r"/>
        <c:numFmt formatCode="0.0\x"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99899453"/>
        <c:crosses val="max"/>
        <c:crossBetween val="between"/>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8.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AVB Implied Cap Rate vs. Private Apartment Cap Rates (2016-2025)</a:t>
            </a:r>
          </a:p>
        </c:rich>
      </c:tx>
      <c:overlay val="0"/>
      <c:spPr>
        <a:noFill/>
        <a:ln w="0">
          <a:noFill/>
        </a:ln>
      </c:spPr>
    </c:title>
    <c:autoTitleDeleted val="0"/>
    <c:plotArea>
      <c:layout>
        <c:manualLayout>
          <c:layoutTarget val="inner"/>
          <c:xMode val="edge"/>
          <c:yMode val="edge"/>
          <c:x val="0.100043050634169"/>
          <c:y val="0.16016016016016"/>
          <c:w val="0.799450276517535"/>
          <c:h val="0.61961961961962"/>
        </c:manualLayout>
      </c:layout>
      <c:scatterChart>
        <c:scatterStyle val="lineMarker"/>
        <c:varyColors val="0"/>
        <c:ser>
          <c:idx val="0"/>
          <c:order val="0"/>
          <c:tx>
            <c:strRef>
              <c:f>"AVB Implied Cap Rate (public pricing, year-end)"</c:f>
              <c:strCache>
                <c:ptCount val="1"/>
                <c:pt idx="0">
                  <c:v>AVB Implied Cap Rate (public pricing, year-end)</c:v>
                </c:pt>
              </c:strCache>
            </c:strRef>
          </c:tx>
          <c:spPr>
            <a:solidFill>
              <a:srgbClr val="a31f34"/>
            </a:solidFill>
            <a:ln w="28440">
              <a:solidFill>
                <a:srgbClr val="a31f34"/>
              </a:solidFill>
              <a:round/>
            </a:ln>
          </c:spPr>
          <c:marker>
            <c:symbol val="circle"/>
            <c:size val="5"/>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'AVB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'AVB vs Market'!$B$4:$B$13</c:f>
              <c:numCache>
                <c:formatCode>0.00%</c:formatCode>
                <c:ptCount val="10"/>
                <c:pt idx="0">
                  <c:v>0.0479929741398078</c:v>
                </c:pt>
                <c:pt idx="1">
                  <c:v>0.0487053434256344</c:v>
                </c:pt>
                <c:pt idx="2">
                  <c:v>0.0525525643905147</c:v>
                </c:pt>
                <c:pt idx="3">
                  <c:v>0.0458534983322351</c:v>
                </c:pt>
                <c:pt idx="4">
                  <c:v>0.0536289608635082</c:v>
                </c:pt>
                <c:pt idx="5">
                  <c:v>0.0356808440799286</c:v>
                </c:pt>
                <c:pt idx="6">
                  <c:v>0.0595244586935358</c:v>
                </c:pt>
                <c:pt idx="7">
                  <c:v>0.05699481934223</c:v>
                </c:pt>
                <c:pt idx="8">
                  <c:v>0.0517215112937037</c:v>
                </c:pt>
                <c:pt idx="9">
                  <c:v>0.0606232243679619</c:v>
                </c:pt>
              </c:numCache>
            </c:numRef>
          </c:yVal>
          <c:smooth val="0"/>
        </c:ser>
        <c:ser>
          <c:idx val="1"/>
          <c:order val="1"/>
          <c:tx>
            <c:strRef>
              <c:f>"Green Street Nominal Cap Rate, 51-Market Wtd Avg (4Q)"</c:f>
              <c:strCache>
                <c:ptCount val="1"/>
                <c:pt idx="0">
                  <c:v>Green Street Nominal Cap Rate, 51-Market Wtd Avg (4Q)</c:v>
                </c:pt>
              </c:strCache>
            </c:strRef>
          </c:tx>
          <c:spPr>
            <a:solidFill>
              <a:srgbClr val="1f3b57"/>
            </a:solidFill>
            <a:ln w="28440">
              <a:solidFill>
                <a:srgbClr val="1f3b57"/>
              </a:solidFill>
              <a:round/>
            </a:ln>
          </c:spPr>
          <c:marker>
            <c:symbol val="square"/>
            <c:size val="5"/>
            <c:spPr>
              <a:solidFill>
                <a:srgbClr val="1f3b57"/>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'AVB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'AVB vs Market'!$T$4:$T$13</c:f>
              <c:numCache>
                <c:formatCode>0.00%</c:formatCode>
                <c:ptCount val="10"/>
                <c:pt idx="0">
                  <c:v>0.04852258</c:v>
                </c:pt>
                <c:pt idx="1">
                  <c:v>0.0501092</c:v>
                </c:pt>
                <c:pt idx="2">
                  <c:v>0.04923149</c:v>
                </c:pt>
                <c:pt idx="3">
                  <c:v>0.0475775</c:v>
                </c:pt>
                <c:pt idx="4">
                  <c:v>0.04376953</c:v>
                </c:pt>
                <c:pt idx="5">
                  <c:v>0.03788439</c:v>
                </c:pt>
                <c:pt idx="6">
                  <c:v>0.05048362</c:v>
                </c:pt>
                <c:pt idx="7">
                  <c:v>0.05662173</c:v>
                </c:pt>
                <c:pt idx="8">
                  <c:v>0.05208783</c:v>
                </c:pt>
                <c:pt idx="9">
                  <c:v>0.05229724</c:v>
                </c:pt>
              </c:numCache>
            </c:numRef>
          </c:yVal>
          <c:smooth val="0"/>
        </c:ser>
        <c:ser>
          <c:idx val="2"/>
          <c:order val="2"/>
          <c:tx>
            <c:strRef>
              <c:f>"10-Yr UST Yield"</c:f>
              <c:strCache>
                <c:ptCount val="1"/>
                <c:pt idx="0">
                  <c:v>10-Yr UST Yield</c:v>
                </c:pt>
              </c:strCache>
            </c:strRef>
          </c:tx>
          <c:spPr>
            <a:solidFill>
              <a:srgbClr val="8a8a8a"/>
            </a:solidFill>
            <a:ln w="28440">
              <a:solidFill>
                <a:srgbClr val="8a8a8a"/>
              </a:solidFill>
              <a:prstDash val="sysDot"/>
              <a:round/>
            </a:ln>
          </c:spPr>
          <c:marker>
            <c:symbol val="dash"/>
            <c:size val="4"/>
            <c:spPr>
              <a:solidFill>
                <a:srgbClr val="8a8a8a"/>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'AVB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'AVB vs Market'!$C$4:$C$13</c:f>
              <c:numCache>
                <c:formatCode>0.00%</c:formatCode>
                <c:ptCount val="10"/>
                <c:pt idx="0">
                  <c:v>0.0245</c:v>
                </c:pt>
                <c:pt idx="1">
                  <c:v>0.024</c:v>
                </c:pt>
                <c:pt idx="2">
                  <c:v>0.0269</c:v>
                </c:pt>
                <c:pt idx="3">
                  <c:v>0.0192</c:v>
                </c:pt>
                <c:pt idx="4">
                  <c:v>0.0093</c:v>
                </c:pt>
                <c:pt idx="5">
                  <c:v>0.0152</c:v>
                </c:pt>
                <c:pt idx="6">
                  <c:v>0.0388</c:v>
                </c:pt>
                <c:pt idx="7">
                  <c:v>0.0388</c:v>
                </c:pt>
                <c:pt idx="8">
                  <c:v>0.0458</c:v>
                </c:pt>
                <c:pt idx="9">
                  <c:v>0.0418</c:v>
                </c:pt>
              </c:numCache>
            </c:numRef>
          </c:yVal>
          <c:smooth val="0"/>
        </c:ser>
        <c:axId val="95010482"/>
        <c:axId val="67887411"/>
      </c:scatterChart>
      <c:valAx>
        <c:axId val="95010482"/>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67887411"/>
        <c:crosses val="autoZero"/>
        <c:crossBetween val="midCat"/>
        <c:majorUnit val="1"/>
      </c:valAx>
      <c:valAx>
        <c:axId val="67887411"/>
        <c:scaling>
          <c:orientation val="minMax"/>
        </c:scaling>
        <c:delete val="0"/>
        <c:axPos val="l"/>
        <c:majorGridlines>
          <c:spPr>
            <a:ln w="0">
              <a:solidFill>
                <a:srgbClr val="b3b3b3"/>
              </a:solidFill>
            </a:ln>
          </c:spPr>
        </c:majorGridlines>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95010482"/>
        <c:crosses val="autoZero"/>
        <c:crossBetween val="midCat"/>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9.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Apartment Values vs. Construction Costs vs. CPI, Indexed to 2016 (2016-2025)</a:t>
            </a:r>
          </a:p>
        </c:rich>
      </c:tx>
      <c:overlay val="0"/>
      <c:spPr>
        <a:noFill/>
        <a:ln w="0">
          <a:noFill/>
        </a:ln>
      </c:spPr>
    </c:title>
    <c:autoTitleDeleted val="0"/>
    <c:plotArea>
      <c:layout>
        <c:manualLayout>
          <c:layoutTarget val="inner"/>
          <c:xMode val="edge"/>
          <c:yMode val="edge"/>
          <c:x val="0.100043050634169"/>
          <c:y val="0.16016016016016"/>
          <c:w val="0.799450276517535"/>
          <c:h val="0.61961961961962"/>
        </c:manualLayout>
      </c:layout>
      <c:scatterChart>
        <c:scatterStyle val="lineMarker"/>
        <c:varyColors val="0"/>
        <c:ser>
          <c:idx val="0"/>
          <c:order val="0"/>
          <c:tx>
            <c:strRef>
              <c:f>"Apartment Property Values (Green Street CPPI)"</c:f>
              <c:strCache>
                <c:ptCount val="1"/>
                <c:pt idx="0">
                  <c:v>Apartment Property Values (Green Street CPPI)</c:v>
                </c:pt>
              </c:strCache>
            </c:strRef>
          </c:tx>
          <c:spPr>
            <a:solidFill>
              <a:srgbClr val="a31f34"/>
            </a:solidFill>
            <a:ln w="28440">
              <a:solidFill>
                <a:srgbClr val="a31f34"/>
              </a:solidFill>
              <a:round/>
            </a:ln>
          </c:spPr>
          <c:marker>
            <c:symbol val="circle"/>
            <c:size val="5"/>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'AVB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'AVB vs Market'!$U$4:$U$13</c:f>
              <c:numCache>
                <c:formatCode>0.0</c:formatCode>
                <c:ptCount val="10"/>
                <c:pt idx="0">
                  <c:v>100</c:v>
                </c:pt>
                <c:pt idx="1">
                  <c:v>99.9419598056238</c:v>
                </c:pt>
                <c:pt idx="2">
                  <c:v>105.350134707176</c:v>
                </c:pt>
                <c:pt idx="3">
                  <c:v>111.012161577111</c:v>
                </c:pt>
                <c:pt idx="4">
                  <c:v>112.840426236934</c:v>
                </c:pt>
                <c:pt idx="5">
                  <c:v>148.305287254741</c:v>
                </c:pt>
                <c:pt idx="6">
                  <c:v>112.259083245291</c:v>
                </c:pt>
                <c:pt idx="7">
                  <c:v>100.508627067155</c:v>
                </c:pt>
                <c:pt idx="8">
                  <c:v>109.137003547425</c:v>
                </c:pt>
                <c:pt idx="9">
                  <c:v>109.052228192995</c:v>
                </c:pt>
              </c:numCache>
            </c:numRef>
          </c:yVal>
          <c:smooth val="0"/>
        </c:ser>
        <c:ser>
          <c:idx val="1"/>
          <c:order val="1"/>
          <c:tx>
            <c:strRef>
              <c:f>"Non-Residential Construction Costs (PPI)"</c:f>
              <c:strCache>
                <c:ptCount val="1"/>
                <c:pt idx="0">
                  <c:v>Non-Residential Construction Costs (PPI)</c:v>
                </c:pt>
              </c:strCache>
            </c:strRef>
          </c:tx>
          <c:spPr>
            <a:solidFill>
              <a:srgbClr val="1f3b57"/>
            </a:solidFill>
            <a:ln w="28440">
              <a:solidFill>
                <a:srgbClr val="1f3b57"/>
              </a:solidFill>
              <a:round/>
            </a:ln>
          </c:spPr>
          <c:marker>
            <c:symbol val="square"/>
            <c:size val="5"/>
            <c:spPr>
              <a:solidFill>
                <a:srgbClr val="1f3b57"/>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'AVB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'AVB vs Market'!$V$4:$V$13</c:f>
              <c:numCache>
                <c:formatCode>0.0</c:formatCode>
                <c:ptCount val="10"/>
                <c:pt idx="0">
                  <c:v>100</c:v>
                </c:pt>
                <c:pt idx="1">
                  <c:v>102.196167016261</c:v>
                </c:pt>
                <c:pt idx="2">
                  <c:v>106.491690421126</c:v>
                </c:pt>
                <c:pt idx="3">
                  <c:v>111.952526936661</c:v>
                </c:pt>
                <c:pt idx="4">
                  <c:v>114.716111798347</c:v>
                </c:pt>
                <c:pt idx="5">
                  <c:v>120.671758188566</c:v>
                </c:pt>
                <c:pt idx="6">
                  <c:v>144.713064056365</c:v>
                </c:pt>
                <c:pt idx="7">
                  <c:v>156.117893831012</c:v>
                </c:pt>
                <c:pt idx="8">
                  <c:v>156.281037666505</c:v>
                </c:pt>
                <c:pt idx="9">
                  <c:v>158.821420247763</c:v>
                </c:pt>
              </c:numCache>
            </c:numRef>
          </c:yVal>
          <c:smooth val="0"/>
        </c:ser>
        <c:ser>
          <c:idx val="2"/>
          <c:order val="2"/>
          <c:tx>
            <c:strRef>
              <c:f>"CPI (All Urban Consumers)"</c:f>
              <c:strCache>
                <c:ptCount val="1"/>
                <c:pt idx="0">
                  <c:v>CPI (All Urban Consumers)</c:v>
                </c:pt>
              </c:strCache>
            </c:strRef>
          </c:tx>
          <c:spPr>
            <a:solidFill>
              <a:srgbClr val="8a8a8a"/>
            </a:solidFill>
            <a:ln w="28440">
              <a:solidFill>
                <a:srgbClr val="8a8a8a"/>
              </a:solidFill>
              <a:prstDash val="dash"/>
              <a:round/>
            </a:ln>
          </c:spPr>
          <c:marker>
            <c:symbol val="dash"/>
            <c:size val="4"/>
            <c:spPr>
              <a:solidFill>
                <a:srgbClr val="8a8a8a"/>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'AVB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'AVB vs Market'!$W$4:$W$13</c:f>
              <c:numCache>
                <c:formatCode>0.0</c:formatCode>
                <c:ptCount val="10"/>
                <c:pt idx="0">
                  <c:v>100</c:v>
                </c:pt>
                <c:pt idx="1">
                  <c:v>102.13162225787</c:v>
                </c:pt>
                <c:pt idx="2">
                  <c:v>104.622820357909</c:v>
                </c:pt>
                <c:pt idx="3">
                  <c:v>106.519864169496</c:v>
                </c:pt>
                <c:pt idx="4">
                  <c:v>107.85441969959</c:v>
                </c:pt>
                <c:pt idx="5">
                  <c:v>112.903064519489</c:v>
                </c:pt>
                <c:pt idx="6">
                  <c:v>121.924959896669</c:v>
                </c:pt>
                <c:pt idx="7">
                  <c:v>126.956938397117</c:v>
                </c:pt>
                <c:pt idx="8">
                  <c:v>130.704776983813</c:v>
                </c:pt>
                <c:pt idx="9">
                  <c:v>134.14803858253</c:v>
                </c:pt>
              </c:numCache>
            </c:numRef>
          </c:yVal>
          <c:smooth val="0"/>
        </c:ser>
        <c:axId val="17665831"/>
        <c:axId val="11124628"/>
      </c:scatterChart>
      <c:valAx>
        <c:axId val="17665831"/>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11124628"/>
        <c:crosses val="autoZero"/>
        <c:crossBetween val="midCat"/>
        <c:majorUnit val="1"/>
      </c:valAx>
      <c:valAx>
        <c:axId val="11124628"/>
        <c:scaling>
          <c:orientation val="minMax"/>
        </c:scaling>
        <c:delete val="0"/>
        <c:axPos val="l"/>
        <c:majorGridlines>
          <c:spPr>
            <a:ln w="0">
              <a:solidFill>
                <a:srgbClr val="b3b3b3"/>
              </a:solidFill>
            </a:ln>
          </c:spPr>
        </c:majorGridlines>
        <c:numFmt formatCode="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17665831"/>
        <c:crosses val="autoZero"/>
        <c:crossBetween val="midCat"/>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drawings/_rels/drawing1.xml.rels><?xml version="1.0" encoding="UTF-8"?>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Relationship Id="rId3" Type="http://schemas.openxmlformats.org/officeDocument/2006/relationships/chart" Target="../charts/chart3.xml"/><Relationship Id="rId4" Type="http://schemas.openxmlformats.org/officeDocument/2006/relationships/chart" Target="../charts/chart4.xml"/><Relationship Id="rId5" Type="http://schemas.openxmlformats.org/officeDocument/2006/relationships/chart" Target="../charts/chart5.xml"/><Relationship Id="rId6" Type="http://schemas.openxmlformats.org/officeDocument/2006/relationships/chart" Target="../charts/chart6.xml"/><Relationship Id="rId7" Type="http://schemas.openxmlformats.org/officeDocument/2006/relationships/chart" Target="../charts/chart7.xml"/><Relationship Id="rId8" Type="http://schemas.openxmlformats.org/officeDocument/2006/relationships/chart" Target="../charts/chart8.xml"/><Relationship Id="rId9" Type="http://schemas.openxmlformats.org/officeDocument/2006/relationships/chart" Target="../charts/chart9.xml"/><Relationship Id="rId10" Type="http://schemas.openxmlformats.org/officeDocument/2006/relationships/chart" Target="../charts/chart10.xml"/><Relationship Id="rId11" Type="http://schemas.openxmlformats.org/officeDocument/2006/relationships/chart" Target="../charts/chart11.xml"/><Relationship Id="rId12" Type="http://schemas.openxmlformats.org/officeDocument/2006/relationships/chart" Target="../charts/chart12.xml"/><Relationship Id="rId13" Type="http://schemas.openxmlformats.org/officeDocument/2006/relationships/chart" Target="../charts/chart13.xml"/>
</Relationships>
</file>

<file path=xl/drawings/_rels/drawing2.xml.rels><?xml version="1.0" encoding="UTF-8"?>
<Relationships xmlns="http://schemas.openxmlformats.org/package/2006/relationships"><Relationship Id="rId1" Type="http://schemas.openxmlformats.org/officeDocument/2006/relationships/chart" Target="../charts/chart14.xml"/><Relationship Id="rId2" Type="http://schemas.openxmlformats.org/officeDocument/2006/relationships/chart" Target="../charts/chart15.xml"/><Relationship Id="rId3" Type="http://schemas.openxmlformats.org/officeDocument/2006/relationships/chart" Target="../charts/chart16.xml"/><Relationship Id="rId4" Type="http://schemas.openxmlformats.org/officeDocument/2006/relationships/chart" Target="../charts/chart17.xml"/><Relationship Id="rId5" Type="http://schemas.openxmlformats.org/officeDocument/2006/relationships/chart" Target="../charts/chart18.xml"/><Relationship Id="rId6" Type="http://schemas.openxmlformats.org/officeDocument/2006/relationships/chart" Target="../charts/chart19.xml"/><Relationship Id="rId7" Type="http://schemas.openxmlformats.org/officeDocument/2006/relationships/chart" Target="../charts/chart20.xml"/><Relationship Id="rId8" Type="http://schemas.openxmlformats.org/officeDocument/2006/relationships/chart" Target="../charts/chart21.xml"/><Relationship Id="rId9" Type="http://schemas.openxmlformats.org/officeDocument/2006/relationships/chart" Target="../charts/chart22.xml"/><Relationship Id="rId10" Type="http://schemas.openxmlformats.org/officeDocument/2006/relationships/chart" Target="../charts/chart23.xml"/><Relationship Id="rId11" Type="http://schemas.openxmlformats.org/officeDocument/2006/relationships/chart" Target="../charts/chart24.xml"/><Relationship Id="rId12" Type="http://schemas.openxmlformats.org/officeDocument/2006/relationships/chart" Target="../charts/chart25.xml"/><Relationship Id="rId13" Type="http://schemas.openxmlformats.org/officeDocument/2006/relationships/chart" Target="../charts/chart26.xml"/>
</Relationships>
</file>

<file path=xl/drawings/_rels/drawing3.xml.rels><?xml version="1.0" encoding="UTF-8"?>
<Relationships xmlns="http://schemas.openxmlformats.org/package/2006/relationships"><Relationship Id="rId1" Type="http://schemas.openxmlformats.org/officeDocument/2006/relationships/chart" Target="../charts/chart27.xml"/><Relationship Id="rId2" Type="http://schemas.openxmlformats.org/officeDocument/2006/relationships/chart" Target="../charts/chart28.xml"/><Relationship Id="rId3" Type="http://schemas.openxmlformats.org/officeDocument/2006/relationships/chart" Target="../charts/chart29.xml"/><Relationship Id="rId4" Type="http://schemas.openxmlformats.org/officeDocument/2006/relationships/chart" Target="../charts/chart30.xml"/><Relationship Id="rId5" Type="http://schemas.openxmlformats.org/officeDocument/2006/relationships/chart" Target="../charts/chart31.xml"/><Relationship Id="rId6" Type="http://schemas.openxmlformats.org/officeDocument/2006/relationships/chart" Target="../charts/chart32.xml"/><Relationship Id="rId7" Type="http://schemas.openxmlformats.org/officeDocument/2006/relationships/chart" Target="../charts/chart33.xml"/><Relationship Id="rId8" Type="http://schemas.openxmlformats.org/officeDocument/2006/relationships/chart" Target="../charts/chart34.xml"/><Relationship Id="rId9" Type="http://schemas.openxmlformats.org/officeDocument/2006/relationships/chart" Target="../charts/chart35.xml"/><Relationship Id="rId10" Type="http://schemas.openxmlformats.org/officeDocument/2006/relationships/chart" Target="../charts/chart36.xml"/><Relationship Id="rId11" Type="http://schemas.openxmlformats.org/officeDocument/2006/relationships/chart" Target="../charts/chart37.xml"/><Relationship Id="rId12" Type="http://schemas.openxmlformats.org/officeDocument/2006/relationships/chart" Target="../charts/chart38.xml"/><Relationship Id="rId13" Type="http://schemas.openxmlformats.org/officeDocument/2006/relationships/chart" Target="../charts/chart39.xml"/>
</Relationships>
</file>

<file path=xl/drawings/_rels/drawing4.xml.rels><?xml version="1.0" encoding="UTF-8"?>
<Relationships xmlns="http://schemas.openxmlformats.org/package/2006/relationships"><Relationship Id="rId1" Type="http://schemas.openxmlformats.org/officeDocument/2006/relationships/chart" Target="../charts/chart40.xml"/><Relationship Id="rId2" Type="http://schemas.openxmlformats.org/officeDocument/2006/relationships/chart" Target="../charts/chart41.xml"/><Relationship Id="rId3" Type="http://schemas.openxmlformats.org/officeDocument/2006/relationships/chart" Target="../charts/chart42.xml"/><Relationship Id="rId4" Type="http://schemas.openxmlformats.org/officeDocument/2006/relationships/chart" Target="../charts/chart43.xml"/><Relationship Id="rId5" Type="http://schemas.openxmlformats.org/officeDocument/2006/relationships/chart" Target="../charts/chart44.xml"/><Relationship Id="rId6" Type="http://schemas.openxmlformats.org/officeDocument/2006/relationships/chart" Target="../charts/chart45.xml"/><Relationship Id="rId7" Type="http://schemas.openxmlformats.org/officeDocument/2006/relationships/chart" Target="../charts/chart46.xml"/><Relationship Id="rId8" Type="http://schemas.openxmlformats.org/officeDocument/2006/relationships/chart" Target="../charts/chart47.xml"/><Relationship Id="rId9" Type="http://schemas.openxmlformats.org/officeDocument/2006/relationships/chart" Target="../charts/chart48.xml"/><Relationship Id="rId10" Type="http://schemas.openxmlformats.org/officeDocument/2006/relationships/chart" Target="../charts/chart49.xml"/><Relationship Id="rId11" Type="http://schemas.openxmlformats.org/officeDocument/2006/relationships/chart" Target="../charts/chart50.xml"/><Relationship Id="rId12" Type="http://schemas.openxmlformats.org/officeDocument/2006/relationships/chart" Target="../charts/chart51.xml"/><Relationship Id="rId13" Type="http://schemas.openxmlformats.org/officeDocument/2006/relationships/chart" Target="../charts/chart52.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45</xdr:row>
      <xdr:rowOff>0</xdr:rowOff>
    </xdr:from>
    <xdr:to>
      <xdr:col>10</xdr:col>
      <xdr:colOff>297720</xdr:colOff>
      <xdr:row>69</xdr:row>
      <xdr:rowOff>102960</xdr:rowOff>
    </xdr:to>
    <xdr:graphicFrame>
      <xdr:nvGraphicFramePr>
        <xdr:cNvPr id="0" name="Chart 1"/>
        <xdr:cNvGraphicFramePr/>
      </xdr:nvGraphicFramePr>
      <xdr:xfrm>
        <a:off x="0" y="9334440"/>
        <a:ext cx="10870560" cy="467496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73</xdr:row>
      <xdr:rowOff>0</xdr:rowOff>
    </xdr:from>
    <xdr:to>
      <xdr:col>10</xdr:col>
      <xdr:colOff>297720</xdr:colOff>
      <xdr:row>97</xdr:row>
      <xdr:rowOff>102960</xdr:rowOff>
    </xdr:to>
    <xdr:graphicFrame>
      <xdr:nvGraphicFramePr>
        <xdr:cNvPr id="1" name="Chart 2"/>
        <xdr:cNvGraphicFramePr/>
      </xdr:nvGraphicFramePr>
      <xdr:xfrm>
        <a:off x="0" y="14668560"/>
        <a:ext cx="10870560" cy="467496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101</xdr:row>
      <xdr:rowOff>0</xdr:rowOff>
    </xdr:from>
    <xdr:to>
      <xdr:col>10</xdr:col>
      <xdr:colOff>297720</xdr:colOff>
      <xdr:row>125</xdr:row>
      <xdr:rowOff>102960</xdr:rowOff>
    </xdr:to>
    <xdr:graphicFrame>
      <xdr:nvGraphicFramePr>
        <xdr:cNvPr id="2" name="Chart 3"/>
        <xdr:cNvGraphicFramePr/>
      </xdr:nvGraphicFramePr>
      <xdr:xfrm>
        <a:off x="0" y="20002680"/>
        <a:ext cx="10870560" cy="467496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325</xdr:row>
      <xdr:rowOff>0</xdr:rowOff>
    </xdr:from>
    <xdr:to>
      <xdr:col>10</xdr:col>
      <xdr:colOff>297720</xdr:colOff>
      <xdr:row>349</xdr:row>
      <xdr:rowOff>102960</xdr:rowOff>
    </xdr:to>
    <xdr:graphicFrame>
      <xdr:nvGraphicFramePr>
        <xdr:cNvPr id="3" name="Chart 4"/>
        <xdr:cNvGraphicFramePr/>
      </xdr:nvGraphicFramePr>
      <xdr:xfrm>
        <a:off x="0" y="62674560"/>
        <a:ext cx="10870560" cy="467496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353</xdr:row>
      <xdr:rowOff>0</xdr:rowOff>
    </xdr:from>
    <xdr:to>
      <xdr:col>10</xdr:col>
      <xdr:colOff>297720</xdr:colOff>
      <xdr:row>377</xdr:row>
      <xdr:rowOff>102960</xdr:rowOff>
    </xdr:to>
    <xdr:graphicFrame>
      <xdr:nvGraphicFramePr>
        <xdr:cNvPr id="4" name="Chart 5"/>
        <xdr:cNvGraphicFramePr/>
      </xdr:nvGraphicFramePr>
      <xdr:xfrm>
        <a:off x="0" y="68008680"/>
        <a:ext cx="10870560" cy="467496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0</xdr:col>
      <xdr:colOff>0</xdr:colOff>
      <xdr:row>129</xdr:row>
      <xdr:rowOff>0</xdr:rowOff>
    </xdr:from>
    <xdr:to>
      <xdr:col>10</xdr:col>
      <xdr:colOff>297720</xdr:colOff>
      <xdr:row>153</xdr:row>
      <xdr:rowOff>102960</xdr:rowOff>
    </xdr:to>
    <xdr:graphicFrame>
      <xdr:nvGraphicFramePr>
        <xdr:cNvPr id="5" name="Chart 6"/>
        <xdr:cNvGraphicFramePr/>
      </xdr:nvGraphicFramePr>
      <xdr:xfrm>
        <a:off x="0" y="25336440"/>
        <a:ext cx="10870560" cy="467496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0</xdr:col>
      <xdr:colOff>0</xdr:colOff>
      <xdr:row>157</xdr:row>
      <xdr:rowOff>0</xdr:rowOff>
    </xdr:from>
    <xdr:to>
      <xdr:col>10</xdr:col>
      <xdr:colOff>297720</xdr:colOff>
      <xdr:row>181</xdr:row>
      <xdr:rowOff>102960</xdr:rowOff>
    </xdr:to>
    <xdr:graphicFrame>
      <xdr:nvGraphicFramePr>
        <xdr:cNvPr id="6" name="Chart 7"/>
        <xdr:cNvGraphicFramePr/>
      </xdr:nvGraphicFramePr>
      <xdr:xfrm>
        <a:off x="0" y="30670560"/>
        <a:ext cx="10870560" cy="467496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381</xdr:row>
      <xdr:rowOff>0</xdr:rowOff>
    </xdr:from>
    <xdr:to>
      <xdr:col>10</xdr:col>
      <xdr:colOff>297720</xdr:colOff>
      <xdr:row>405</xdr:row>
      <xdr:rowOff>102960</xdr:rowOff>
    </xdr:to>
    <xdr:graphicFrame>
      <xdr:nvGraphicFramePr>
        <xdr:cNvPr id="7" name="Chart 8"/>
        <xdr:cNvGraphicFramePr/>
      </xdr:nvGraphicFramePr>
      <xdr:xfrm>
        <a:off x="0" y="73342440"/>
        <a:ext cx="10870560" cy="467496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0</xdr:col>
      <xdr:colOff>0</xdr:colOff>
      <xdr:row>241</xdr:row>
      <xdr:rowOff>0</xdr:rowOff>
    </xdr:from>
    <xdr:to>
      <xdr:col>10</xdr:col>
      <xdr:colOff>297720</xdr:colOff>
      <xdr:row>265</xdr:row>
      <xdr:rowOff>102960</xdr:rowOff>
    </xdr:to>
    <xdr:graphicFrame>
      <xdr:nvGraphicFramePr>
        <xdr:cNvPr id="8" name="Chart 9"/>
        <xdr:cNvGraphicFramePr/>
      </xdr:nvGraphicFramePr>
      <xdr:xfrm>
        <a:off x="0" y="46672560"/>
        <a:ext cx="10870560" cy="467496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0</xdr:col>
      <xdr:colOff>0</xdr:colOff>
      <xdr:row>185</xdr:row>
      <xdr:rowOff>0</xdr:rowOff>
    </xdr:from>
    <xdr:to>
      <xdr:col>10</xdr:col>
      <xdr:colOff>297720</xdr:colOff>
      <xdr:row>209</xdr:row>
      <xdr:rowOff>102960</xdr:rowOff>
    </xdr:to>
    <xdr:graphicFrame>
      <xdr:nvGraphicFramePr>
        <xdr:cNvPr id="9" name="Chart 10"/>
        <xdr:cNvGraphicFramePr/>
      </xdr:nvGraphicFramePr>
      <xdr:xfrm>
        <a:off x="0" y="36004680"/>
        <a:ext cx="10870560" cy="467496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0</xdr:col>
      <xdr:colOff>0</xdr:colOff>
      <xdr:row>213</xdr:row>
      <xdr:rowOff>0</xdr:rowOff>
    </xdr:from>
    <xdr:to>
      <xdr:col>10</xdr:col>
      <xdr:colOff>297720</xdr:colOff>
      <xdr:row>237</xdr:row>
      <xdr:rowOff>102960</xdr:rowOff>
    </xdr:to>
    <xdr:graphicFrame>
      <xdr:nvGraphicFramePr>
        <xdr:cNvPr id="10" name="Chart 11"/>
        <xdr:cNvGraphicFramePr/>
      </xdr:nvGraphicFramePr>
      <xdr:xfrm>
        <a:off x="0" y="41338440"/>
        <a:ext cx="10870560" cy="467496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0</xdr:col>
      <xdr:colOff>0</xdr:colOff>
      <xdr:row>297</xdr:row>
      <xdr:rowOff>0</xdr:rowOff>
    </xdr:from>
    <xdr:to>
      <xdr:col>10</xdr:col>
      <xdr:colOff>297720</xdr:colOff>
      <xdr:row>321</xdr:row>
      <xdr:rowOff>102960</xdr:rowOff>
    </xdr:to>
    <xdr:graphicFrame>
      <xdr:nvGraphicFramePr>
        <xdr:cNvPr id="11" name="Chart 12"/>
        <xdr:cNvGraphicFramePr/>
      </xdr:nvGraphicFramePr>
      <xdr:xfrm>
        <a:off x="0" y="57340440"/>
        <a:ext cx="10870560" cy="467496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0</xdr:col>
      <xdr:colOff>0</xdr:colOff>
      <xdr:row>269</xdr:row>
      <xdr:rowOff>0</xdr:rowOff>
    </xdr:from>
    <xdr:to>
      <xdr:col>10</xdr:col>
      <xdr:colOff>297720</xdr:colOff>
      <xdr:row>293</xdr:row>
      <xdr:rowOff>102960</xdr:rowOff>
    </xdr:to>
    <xdr:graphicFrame>
      <xdr:nvGraphicFramePr>
        <xdr:cNvPr id="12" name="Chart 13"/>
        <xdr:cNvGraphicFramePr/>
      </xdr:nvGraphicFramePr>
      <xdr:xfrm>
        <a:off x="0" y="52006680"/>
        <a:ext cx="10870560" cy="467496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1</xdr:col>
      <xdr:colOff>133200</xdr:colOff>
      <xdr:row>134</xdr:row>
      <xdr:rowOff>104760</xdr:rowOff>
    </xdr:from>
    <xdr:to>
      <xdr:col>3</xdr:col>
      <xdr:colOff>722520</xdr:colOff>
      <xdr:row>137</xdr:row>
      <xdr:rowOff>141840</xdr:rowOff>
    </xdr:to>
    <xdr:sp>
      <xdr:nvSpPr>
        <xdr:cNvPr id="13" name="NOI Note"/>
        <xdr:cNvSpPr/>
      </xdr:nvSpPr>
      <xdr:spPr>
        <a:xfrm>
          <a:off x="1190520" y="26393760"/>
          <a:ext cx="2703960" cy="608760"/>
        </a:xfrm>
        <a:prstGeom prst="rect">
          <a:avLst/>
        </a:prstGeom>
        <a:solidFill>
          <a:srgbClr val="ffffff"/>
        </a:solidFill>
        <a:ln w="12700">
          <a:solidFill>
            <a:srgbClr val="a31f34"/>
          </a:solidFill>
          <a:round/>
        </a:ln>
      </xdr:spPr>
      <xdr:style>
        <a:lnRef idx="0"/>
        <a:fillRef idx="0"/>
        <a:effectRef idx="0"/>
        <a:fontRef idx="minor"/>
      </xdr:style>
      <xdr:txBody>
        <a:bodyPr horzOverflow="clip" vertOverflow="clip" lIns="36000" rIns="36000" tIns="18000" bIns="18000" anchor="t">
          <a:noAutofit/>
        </a:bodyPr>
        <a:p>
          <a:pPr>
            <a:lnSpc>
              <a:spcPct val="100000"/>
            </a:lnSpc>
          </a:pPr>
          <a:r>
            <a:rPr b="0" lang="en-US" sz="900" spc="-1" strike="noStrike">
              <a:solidFill>
                <a:srgbClr val="404040"/>
              </a:solidFill>
              <a:latin typeface="Times New Roman"/>
            </a:rPr>
            <a:t>Red labels on the NOI bars show NOI growth YoY. 2021-2025: NOI +33%; stabilized TEV -21%; multiple 28.0x to 16.5x. Figures are aggregate, not per share; shares outstanding grew ~0.3% per year (3% cumulative, 2016-2025).</a:t>
          </a:r>
          <a:endParaRPr b="0" lang="en-US" sz="900" spc="-1" strike="noStrike">
            <a:latin typeface="Times New Roman"/>
          </a:endParaRPr>
        </a:p>
      </xdr:txBody>
    </xdr:sp>
    <xdr:clientData/>
  </xdr:twoCellAnchor>
  <xdr:twoCellAnchor editAs="oneCell">
    <xdr:from>
      <xdr:col>1</xdr:col>
      <xdr:colOff>171360</xdr:colOff>
      <xdr:row>162</xdr:row>
      <xdr:rowOff>76320</xdr:rowOff>
    </xdr:from>
    <xdr:to>
      <xdr:col>4</xdr:col>
      <xdr:colOff>636840</xdr:colOff>
      <xdr:row>165</xdr:row>
      <xdr:rowOff>160920</xdr:rowOff>
    </xdr:to>
    <xdr:sp>
      <xdr:nvSpPr>
        <xdr:cNvPr id="14" name="LCF Note"/>
        <xdr:cNvSpPr/>
      </xdr:nvSpPr>
      <xdr:spPr>
        <a:xfrm>
          <a:off x="1228680" y="31699440"/>
          <a:ext cx="3637440" cy="655920"/>
        </a:xfrm>
        <a:prstGeom prst="rect">
          <a:avLst/>
        </a:prstGeom>
        <a:solidFill>
          <a:srgbClr val="ffffff"/>
        </a:solidFill>
        <a:ln w="12700">
          <a:solidFill>
            <a:srgbClr val="a31f34"/>
          </a:solidFill>
          <a:round/>
        </a:ln>
      </xdr:spPr>
      <xdr:style>
        <a:lnRef idx="0"/>
        <a:fillRef idx="0"/>
        <a:effectRef idx="0"/>
        <a:fontRef idx="minor"/>
      </xdr:style>
      <xdr:txBody>
        <a:bodyPr horzOverflow="clip" vertOverflow="clip" lIns="36000" rIns="36000" tIns="18000" bIns="18000" anchor="t">
          <a:noAutofit/>
        </a:bodyPr>
        <a:p>
          <a:pPr>
            <a:lnSpc>
              <a:spcPct val="100000"/>
            </a:lnSpc>
          </a:pPr>
          <a:r>
            <a:rPr b="0" lang="en-US" sz="900" spc="-1" strike="noStrike">
              <a:solidFill>
                <a:srgbClr val="404040"/>
              </a:solidFill>
              <a:latin typeface="Times New Roman"/>
            </a:rPr>
            <a:t>Red labels on the cash-flow bars show leveraged cash flow growth YoY. 2021-2025: leveraged cash flow +36%; stabilized market cap -30%; multiple 26.5x to 13.6x. Figures are aggregate, not per share; shares outstanding grew ~0.3% per year (3% cumulative, 2016-2025).</a:t>
          </a:r>
          <a:endParaRPr b="0" lang="en-US" sz="900" spc="-1" strike="noStrike">
            <a:latin typeface="Times New Roman"/>
          </a:endParaRPr>
        </a:p>
      </xdr:txBody>
    </xdr:sp>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45</xdr:row>
      <xdr:rowOff>0</xdr:rowOff>
    </xdr:from>
    <xdr:to>
      <xdr:col>10</xdr:col>
      <xdr:colOff>297720</xdr:colOff>
      <xdr:row>69</xdr:row>
      <xdr:rowOff>102960</xdr:rowOff>
    </xdr:to>
    <xdr:graphicFrame>
      <xdr:nvGraphicFramePr>
        <xdr:cNvPr id="15" name="Chart 1"/>
        <xdr:cNvGraphicFramePr/>
      </xdr:nvGraphicFramePr>
      <xdr:xfrm>
        <a:off x="0" y="9334440"/>
        <a:ext cx="10870560" cy="467496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73</xdr:row>
      <xdr:rowOff>0</xdr:rowOff>
    </xdr:from>
    <xdr:to>
      <xdr:col>10</xdr:col>
      <xdr:colOff>297720</xdr:colOff>
      <xdr:row>97</xdr:row>
      <xdr:rowOff>102960</xdr:rowOff>
    </xdr:to>
    <xdr:graphicFrame>
      <xdr:nvGraphicFramePr>
        <xdr:cNvPr id="16" name="Chart 2"/>
        <xdr:cNvGraphicFramePr/>
      </xdr:nvGraphicFramePr>
      <xdr:xfrm>
        <a:off x="0" y="14668560"/>
        <a:ext cx="10870560" cy="467496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101</xdr:row>
      <xdr:rowOff>0</xdr:rowOff>
    </xdr:from>
    <xdr:to>
      <xdr:col>10</xdr:col>
      <xdr:colOff>297720</xdr:colOff>
      <xdr:row>125</xdr:row>
      <xdr:rowOff>102960</xdr:rowOff>
    </xdr:to>
    <xdr:graphicFrame>
      <xdr:nvGraphicFramePr>
        <xdr:cNvPr id="17" name="Chart 3"/>
        <xdr:cNvGraphicFramePr/>
      </xdr:nvGraphicFramePr>
      <xdr:xfrm>
        <a:off x="0" y="20002680"/>
        <a:ext cx="10870560" cy="467496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325</xdr:row>
      <xdr:rowOff>0</xdr:rowOff>
    </xdr:from>
    <xdr:to>
      <xdr:col>10</xdr:col>
      <xdr:colOff>297720</xdr:colOff>
      <xdr:row>349</xdr:row>
      <xdr:rowOff>102960</xdr:rowOff>
    </xdr:to>
    <xdr:graphicFrame>
      <xdr:nvGraphicFramePr>
        <xdr:cNvPr id="18" name="Chart 4"/>
        <xdr:cNvGraphicFramePr/>
      </xdr:nvGraphicFramePr>
      <xdr:xfrm>
        <a:off x="0" y="62674560"/>
        <a:ext cx="10870560" cy="467496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353</xdr:row>
      <xdr:rowOff>0</xdr:rowOff>
    </xdr:from>
    <xdr:to>
      <xdr:col>10</xdr:col>
      <xdr:colOff>297720</xdr:colOff>
      <xdr:row>377</xdr:row>
      <xdr:rowOff>102960</xdr:rowOff>
    </xdr:to>
    <xdr:graphicFrame>
      <xdr:nvGraphicFramePr>
        <xdr:cNvPr id="19" name="Chart 5"/>
        <xdr:cNvGraphicFramePr/>
      </xdr:nvGraphicFramePr>
      <xdr:xfrm>
        <a:off x="0" y="68008680"/>
        <a:ext cx="10870560" cy="467496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0</xdr:col>
      <xdr:colOff>0</xdr:colOff>
      <xdr:row>129</xdr:row>
      <xdr:rowOff>0</xdr:rowOff>
    </xdr:from>
    <xdr:to>
      <xdr:col>10</xdr:col>
      <xdr:colOff>297720</xdr:colOff>
      <xdr:row>153</xdr:row>
      <xdr:rowOff>102960</xdr:rowOff>
    </xdr:to>
    <xdr:graphicFrame>
      <xdr:nvGraphicFramePr>
        <xdr:cNvPr id="20" name="Chart 6"/>
        <xdr:cNvGraphicFramePr/>
      </xdr:nvGraphicFramePr>
      <xdr:xfrm>
        <a:off x="0" y="25336440"/>
        <a:ext cx="10870560" cy="467496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0</xdr:col>
      <xdr:colOff>0</xdr:colOff>
      <xdr:row>157</xdr:row>
      <xdr:rowOff>0</xdr:rowOff>
    </xdr:from>
    <xdr:to>
      <xdr:col>10</xdr:col>
      <xdr:colOff>297720</xdr:colOff>
      <xdr:row>181</xdr:row>
      <xdr:rowOff>102960</xdr:rowOff>
    </xdr:to>
    <xdr:graphicFrame>
      <xdr:nvGraphicFramePr>
        <xdr:cNvPr id="21" name="Chart 7"/>
        <xdr:cNvGraphicFramePr/>
      </xdr:nvGraphicFramePr>
      <xdr:xfrm>
        <a:off x="0" y="30670560"/>
        <a:ext cx="10870560" cy="467496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381</xdr:row>
      <xdr:rowOff>0</xdr:rowOff>
    </xdr:from>
    <xdr:to>
      <xdr:col>10</xdr:col>
      <xdr:colOff>297720</xdr:colOff>
      <xdr:row>405</xdr:row>
      <xdr:rowOff>102960</xdr:rowOff>
    </xdr:to>
    <xdr:graphicFrame>
      <xdr:nvGraphicFramePr>
        <xdr:cNvPr id="22" name="Chart 8"/>
        <xdr:cNvGraphicFramePr/>
      </xdr:nvGraphicFramePr>
      <xdr:xfrm>
        <a:off x="0" y="73342440"/>
        <a:ext cx="10870560" cy="467496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0</xdr:col>
      <xdr:colOff>0</xdr:colOff>
      <xdr:row>241</xdr:row>
      <xdr:rowOff>0</xdr:rowOff>
    </xdr:from>
    <xdr:to>
      <xdr:col>10</xdr:col>
      <xdr:colOff>297720</xdr:colOff>
      <xdr:row>265</xdr:row>
      <xdr:rowOff>102960</xdr:rowOff>
    </xdr:to>
    <xdr:graphicFrame>
      <xdr:nvGraphicFramePr>
        <xdr:cNvPr id="23" name="Chart 9"/>
        <xdr:cNvGraphicFramePr/>
      </xdr:nvGraphicFramePr>
      <xdr:xfrm>
        <a:off x="0" y="46672560"/>
        <a:ext cx="10870560" cy="467496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0</xdr:col>
      <xdr:colOff>0</xdr:colOff>
      <xdr:row>185</xdr:row>
      <xdr:rowOff>0</xdr:rowOff>
    </xdr:from>
    <xdr:to>
      <xdr:col>10</xdr:col>
      <xdr:colOff>297720</xdr:colOff>
      <xdr:row>209</xdr:row>
      <xdr:rowOff>102960</xdr:rowOff>
    </xdr:to>
    <xdr:graphicFrame>
      <xdr:nvGraphicFramePr>
        <xdr:cNvPr id="24" name="Chart 10"/>
        <xdr:cNvGraphicFramePr/>
      </xdr:nvGraphicFramePr>
      <xdr:xfrm>
        <a:off x="0" y="36004680"/>
        <a:ext cx="10870560" cy="467496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0</xdr:col>
      <xdr:colOff>0</xdr:colOff>
      <xdr:row>213</xdr:row>
      <xdr:rowOff>0</xdr:rowOff>
    </xdr:from>
    <xdr:to>
      <xdr:col>10</xdr:col>
      <xdr:colOff>297720</xdr:colOff>
      <xdr:row>237</xdr:row>
      <xdr:rowOff>102960</xdr:rowOff>
    </xdr:to>
    <xdr:graphicFrame>
      <xdr:nvGraphicFramePr>
        <xdr:cNvPr id="25" name="Chart 11"/>
        <xdr:cNvGraphicFramePr/>
      </xdr:nvGraphicFramePr>
      <xdr:xfrm>
        <a:off x="0" y="41338440"/>
        <a:ext cx="10870560" cy="467496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0</xdr:col>
      <xdr:colOff>0</xdr:colOff>
      <xdr:row>297</xdr:row>
      <xdr:rowOff>0</xdr:rowOff>
    </xdr:from>
    <xdr:to>
      <xdr:col>10</xdr:col>
      <xdr:colOff>297720</xdr:colOff>
      <xdr:row>321</xdr:row>
      <xdr:rowOff>102960</xdr:rowOff>
    </xdr:to>
    <xdr:graphicFrame>
      <xdr:nvGraphicFramePr>
        <xdr:cNvPr id="26" name="Chart 12"/>
        <xdr:cNvGraphicFramePr/>
      </xdr:nvGraphicFramePr>
      <xdr:xfrm>
        <a:off x="0" y="57340440"/>
        <a:ext cx="10870560" cy="467496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0</xdr:col>
      <xdr:colOff>0</xdr:colOff>
      <xdr:row>269</xdr:row>
      <xdr:rowOff>0</xdr:rowOff>
    </xdr:from>
    <xdr:to>
      <xdr:col>10</xdr:col>
      <xdr:colOff>297720</xdr:colOff>
      <xdr:row>293</xdr:row>
      <xdr:rowOff>102960</xdr:rowOff>
    </xdr:to>
    <xdr:graphicFrame>
      <xdr:nvGraphicFramePr>
        <xdr:cNvPr id="27" name="Chart 13"/>
        <xdr:cNvGraphicFramePr/>
      </xdr:nvGraphicFramePr>
      <xdr:xfrm>
        <a:off x="0" y="52006680"/>
        <a:ext cx="10870560" cy="467496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1</xdr:col>
      <xdr:colOff>133200</xdr:colOff>
      <xdr:row>134</xdr:row>
      <xdr:rowOff>104760</xdr:rowOff>
    </xdr:from>
    <xdr:to>
      <xdr:col>3</xdr:col>
      <xdr:colOff>722520</xdr:colOff>
      <xdr:row>137</xdr:row>
      <xdr:rowOff>141840</xdr:rowOff>
    </xdr:to>
    <xdr:sp>
      <xdr:nvSpPr>
        <xdr:cNvPr id="28" name="NOI Note"/>
        <xdr:cNvSpPr/>
      </xdr:nvSpPr>
      <xdr:spPr>
        <a:xfrm>
          <a:off x="1190520" y="26393760"/>
          <a:ext cx="2703960" cy="608760"/>
        </a:xfrm>
        <a:prstGeom prst="rect">
          <a:avLst/>
        </a:prstGeom>
        <a:solidFill>
          <a:srgbClr val="ffffff"/>
        </a:solidFill>
        <a:ln w="12700">
          <a:solidFill>
            <a:srgbClr val="a31f34"/>
          </a:solidFill>
          <a:round/>
        </a:ln>
      </xdr:spPr>
      <xdr:style>
        <a:lnRef idx="0"/>
        <a:fillRef idx="0"/>
        <a:effectRef idx="0"/>
        <a:fontRef idx="minor"/>
      </xdr:style>
      <xdr:txBody>
        <a:bodyPr horzOverflow="clip" vertOverflow="clip" lIns="36000" rIns="36000" tIns="18000" bIns="18000" anchor="t">
          <a:noAutofit/>
        </a:bodyPr>
        <a:p>
          <a:pPr>
            <a:lnSpc>
              <a:spcPct val="100000"/>
            </a:lnSpc>
          </a:pPr>
          <a:r>
            <a:rPr b="0" lang="en-US" sz="900" spc="-1" strike="noStrike">
              <a:solidFill>
                <a:srgbClr val="404040"/>
              </a:solidFill>
              <a:latin typeface="Times New Roman"/>
            </a:rPr>
            <a:t>Red labels on the NOI bars show NOI growth YoY. 2021-2025: NOI +24%; stabilized TEV -31%; multiple 28.4x to 15.7x. Figures are aggregate, not per share; shares outstanding grew ~0.2% per year (2% cumulative, 2016-2025).</a:t>
          </a:r>
          <a:endParaRPr b="0" lang="en-US" sz="900" spc="-1" strike="noStrike">
            <a:latin typeface="Times New Roman"/>
          </a:endParaRPr>
        </a:p>
      </xdr:txBody>
    </xdr:sp>
    <xdr:clientData/>
  </xdr:twoCellAnchor>
  <xdr:twoCellAnchor editAs="oneCell">
    <xdr:from>
      <xdr:col>1</xdr:col>
      <xdr:colOff>171360</xdr:colOff>
      <xdr:row>162</xdr:row>
      <xdr:rowOff>76320</xdr:rowOff>
    </xdr:from>
    <xdr:to>
      <xdr:col>4</xdr:col>
      <xdr:colOff>636840</xdr:colOff>
      <xdr:row>165</xdr:row>
      <xdr:rowOff>160920</xdr:rowOff>
    </xdr:to>
    <xdr:sp>
      <xdr:nvSpPr>
        <xdr:cNvPr id="29" name="LCF Note"/>
        <xdr:cNvSpPr/>
      </xdr:nvSpPr>
      <xdr:spPr>
        <a:xfrm>
          <a:off x="1228680" y="31699440"/>
          <a:ext cx="3637440" cy="655920"/>
        </a:xfrm>
        <a:prstGeom prst="rect">
          <a:avLst/>
        </a:prstGeom>
        <a:solidFill>
          <a:srgbClr val="ffffff"/>
        </a:solidFill>
        <a:ln w="12700">
          <a:solidFill>
            <a:srgbClr val="a31f34"/>
          </a:solidFill>
          <a:round/>
        </a:ln>
      </xdr:spPr>
      <xdr:style>
        <a:lnRef idx="0"/>
        <a:fillRef idx="0"/>
        <a:effectRef idx="0"/>
        <a:fontRef idx="minor"/>
      </xdr:style>
      <xdr:txBody>
        <a:bodyPr horzOverflow="clip" vertOverflow="clip" lIns="36000" rIns="36000" tIns="18000" bIns="18000" anchor="t">
          <a:noAutofit/>
        </a:bodyPr>
        <a:p>
          <a:pPr>
            <a:lnSpc>
              <a:spcPct val="100000"/>
            </a:lnSpc>
          </a:pPr>
          <a:r>
            <a:rPr b="0" lang="en-US" sz="900" spc="-1" strike="noStrike">
              <a:solidFill>
                <a:srgbClr val="404040"/>
              </a:solidFill>
              <a:latin typeface="Times New Roman"/>
            </a:rPr>
            <a:t>Red labels on the cash-flow bars show leveraged cash flow growth YoY. 2021-2025: leveraged cash flow +25%; stabilized market cap -40%; multiple 28.3x to 13.6x. Figures are aggregate, not per share; shares outstanding grew ~0.2% per year (2% cumulative, 2016-2025).</a:t>
          </a:r>
          <a:endParaRPr b="0" lang="en-US" sz="900" spc="-1" strike="noStrike">
            <a:latin typeface="Times New Roman"/>
          </a:endParaRPr>
        </a:p>
      </xdr:txBody>
    </xdr:sp>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45</xdr:row>
      <xdr:rowOff>0</xdr:rowOff>
    </xdr:from>
    <xdr:to>
      <xdr:col>10</xdr:col>
      <xdr:colOff>297720</xdr:colOff>
      <xdr:row>69</xdr:row>
      <xdr:rowOff>102960</xdr:rowOff>
    </xdr:to>
    <xdr:graphicFrame>
      <xdr:nvGraphicFramePr>
        <xdr:cNvPr id="30" name="Chart 1"/>
        <xdr:cNvGraphicFramePr/>
      </xdr:nvGraphicFramePr>
      <xdr:xfrm>
        <a:off x="0" y="9334440"/>
        <a:ext cx="10870560" cy="467496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73</xdr:row>
      <xdr:rowOff>0</xdr:rowOff>
    </xdr:from>
    <xdr:to>
      <xdr:col>10</xdr:col>
      <xdr:colOff>297720</xdr:colOff>
      <xdr:row>97</xdr:row>
      <xdr:rowOff>102960</xdr:rowOff>
    </xdr:to>
    <xdr:graphicFrame>
      <xdr:nvGraphicFramePr>
        <xdr:cNvPr id="31" name="Chart 2"/>
        <xdr:cNvGraphicFramePr/>
      </xdr:nvGraphicFramePr>
      <xdr:xfrm>
        <a:off x="0" y="14668560"/>
        <a:ext cx="10870560" cy="467496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101</xdr:row>
      <xdr:rowOff>0</xdr:rowOff>
    </xdr:from>
    <xdr:to>
      <xdr:col>10</xdr:col>
      <xdr:colOff>297720</xdr:colOff>
      <xdr:row>125</xdr:row>
      <xdr:rowOff>102960</xdr:rowOff>
    </xdr:to>
    <xdr:graphicFrame>
      <xdr:nvGraphicFramePr>
        <xdr:cNvPr id="32" name="Chart 3"/>
        <xdr:cNvGraphicFramePr/>
      </xdr:nvGraphicFramePr>
      <xdr:xfrm>
        <a:off x="0" y="20002680"/>
        <a:ext cx="10870560" cy="467496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325</xdr:row>
      <xdr:rowOff>0</xdr:rowOff>
    </xdr:from>
    <xdr:to>
      <xdr:col>10</xdr:col>
      <xdr:colOff>297720</xdr:colOff>
      <xdr:row>349</xdr:row>
      <xdr:rowOff>102960</xdr:rowOff>
    </xdr:to>
    <xdr:graphicFrame>
      <xdr:nvGraphicFramePr>
        <xdr:cNvPr id="33" name="Chart 4"/>
        <xdr:cNvGraphicFramePr/>
      </xdr:nvGraphicFramePr>
      <xdr:xfrm>
        <a:off x="0" y="62674560"/>
        <a:ext cx="10870560" cy="467496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353</xdr:row>
      <xdr:rowOff>0</xdr:rowOff>
    </xdr:from>
    <xdr:to>
      <xdr:col>10</xdr:col>
      <xdr:colOff>297720</xdr:colOff>
      <xdr:row>377</xdr:row>
      <xdr:rowOff>102960</xdr:rowOff>
    </xdr:to>
    <xdr:graphicFrame>
      <xdr:nvGraphicFramePr>
        <xdr:cNvPr id="34" name="Chart 5"/>
        <xdr:cNvGraphicFramePr/>
      </xdr:nvGraphicFramePr>
      <xdr:xfrm>
        <a:off x="0" y="68008680"/>
        <a:ext cx="10870560" cy="467496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0</xdr:col>
      <xdr:colOff>0</xdr:colOff>
      <xdr:row>129</xdr:row>
      <xdr:rowOff>0</xdr:rowOff>
    </xdr:from>
    <xdr:to>
      <xdr:col>10</xdr:col>
      <xdr:colOff>297720</xdr:colOff>
      <xdr:row>153</xdr:row>
      <xdr:rowOff>102960</xdr:rowOff>
    </xdr:to>
    <xdr:graphicFrame>
      <xdr:nvGraphicFramePr>
        <xdr:cNvPr id="35" name="Chart 6"/>
        <xdr:cNvGraphicFramePr/>
      </xdr:nvGraphicFramePr>
      <xdr:xfrm>
        <a:off x="0" y="25336440"/>
        <a:ext cx="10870560" cy="467496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0</xdr:col>
      <xdr:colOff>0</xdr:colOff>
      <xdr:row>157</xdr:row>
      <xdr:rowOff>0</xdr:rowOff>
    </xdr:from>
    <xdr:to>
      <xdr:col>10</xdr:col>
      <xdr:colOff>297720</xdr:colOff>
      <xdr:row>181</xdr:row>
      <xdr:rowOff>102960</xdr:rowOff>
    </xdr:to>
    <xdr:graphicFrame>
      <xdr:nvGraphicFramePr>
        <xdr:cNvPr id="36" name="Chart 7"/>
        <xdr:cNvGraphicFramePr/>
      </xdr:nvGraphicFramePr>
      <xdr:xfrm>
        <a:off x="0" y="30670560"/>
        <a:ext cx="10870560" cy="467496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381</xdr:row>
      <xdr:rowOff>0</xdr:rowOff>
    </xdr:from>
    <xdr:to>
      <xdr:col>10</xdr:col>
      <xdr:colOff>297720</xdr:colOff>
      <xdr:row>405</xdr:row>
      <xdr:rowOff>102960</xdr:rowOff>
    </xdr:to>
    <xdr:graphicFrame>
      <xdr:nvGraphicFramePr>
        <xdr:cNvPr id="37" name="Chart 8"/>
        <xdr:cNvGraphicFramePr/>
      </xdr:nvGraphicFramePr>
      <xdr:xfrm>
        <a:off x="0" y="73342440"/>
        <a:ext cx="10870560" cy="467496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0</xdr:col>
      <xdr:colOff>0</xdr:colOff>
      <xdr:row>241</xdr:row>
      <xdr:rowOff>0</xdr:rowOff>
    </xdr:from>
    <xdr:to>
      <xdr:col>10</xdr:col>
      <xdr:colOff>297720</xdr:colOff>
      <xdr:row>265</xdr:row>
      <xdr:rowOff>102960</xdr:rowOff>
    </xdr:to>
    <xdr:graphicFrame>
      <xdr:nvGraphicFramePr>
        <xdr:cNvPr id="38" name="Chart 9"/>
        <xdr:cNvGraphicFramePr/>
      </xdr:nvGraphicFramePr>
      <xdr:xfrm>
        <a:off x="0" y="46672560"/>
        <a:ext cx="10870560" cy="467496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0</xdr:col>
      <xdr:colOff>0</xdr:colOff>
      <xdr:row>185</xdr:row>
      <xdr:rowOff>0</xdr:rowOff>
    </xdr:from>
    <xdr:to>
      <xdr:col>10</xdr:col>
      <xdr:colOff>297720</xdr:colOff>
      <xdr:row>209</xdr:row>
      <xdr:rowOff>102960</xdr:rowOff>
    </xdr:to>
    <xdr:graphicFrame>
      <xdr:nvGraphicFramePr>
        <xdr:cNvPr id="39" name="Chart 10"/>
        <xdr:cNvGraphicFramePr/>
      </xdr:nvGraphicFramePr>
      <xdr:xfrm>
        <a:off x="0" y="36004680"/>
        <a:ext cx="10870560" cy="467496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0</xdr:col>
      <xdr:colOff>0</xdr:colOff>
      <xdr:row>213</xdr:row>
      <xdr:rowOff>0</xdr:rowOff>
    </xdr:from>
    <xdr:to>
      <xdr:col>10</xdr:col>
      <xdr:colOff>297720</xdr:colOff>
      <xdr:row>237</xdr:row>
      <xdr:rowOff>102960</xdr:rowOff>
    </xdr:to>
    <xdr:graphicFrame>
      <xdr:nvGraphicFramePr>
        <xdr:cNvPr id="40" name="Chart 11"/>
        <xdr:cNvGraphicFramePr/>
      </xdr:nvGraphicFramePr>
      <xdr:xfrm>
        <a:off x="0" y="41338440"/>
        <a:ext cx="10870560" cy="467496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0</xdr:col>
      <xdr:colOff>0</xdr:colOff>
      <xdr:row>297</xdr:row>
      <xdr:rowOff>0</xdr:rowOff>
    </xdr:from>
    <xdr:to>
      <xdr:col>10</xdr:col>
      <xdr:colOff>297720</xdr:colOff>
      <xdr:row>321</xdr:row>
      <xdr:rowOff>102960</xdr:rowOff>
    </xdr:to>
    <xdr:graphicFrame>
      <xdr:nvGraphicFramePr>
        <xdr:cNvPr id="41" name="Chart 12"/>
        <xdr:cNvGraphicFramePr/>
      </xdr:nvGraphicFramePr>
      <xdr:xfrm>
        <a:off x="0" y="57340440"/>
        <a:ext cx="10870560" cy="467496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0</xdr:col>
      <xdr:colOff>0</xdr:colOff>
      <xdr:row>269</xdr:row>
      <xdr:rowOff>0</xdr:rowOff>
    </xdr:from>
    <xdr:to>
      <xdr:col>10</xdr:col>
      <xdr:colOff>297720</xdr:colOff>
      <xdr:row>293</xdr:row>
      <xdr:rowOff>102960</xdr:rowOff>
    </xdr:to>
    <xdr:graphicFrame>
      <xdr:nvGraphicFramePr>
        <xdr:cNvPr id="42" name="Chart 13"/>
        <xdr:cNvGraphicFramePr/>
      </xdr:nvGraphicFramePr>
      <xdr:xfrm>
        <a:off x="0" y="52006680"/>
        <a:ext cx="10870560" cy="467496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1</xdr:col>
      <xdr:colOff>133200</xdr:colOff>
      <xdr:row>134</xdr:row>
      <xdr:rowOff>104760</xdr:rowOff>
    </xdr:from>
    <xdr:to>
      <xdr:col>3</xdr:col>
      <xdr:colOff>722520</xdr:colOff>
      <xdr:row>137</xdr:row>
      <xdr:rowOff>141840</xdr:rowOff>
    </xdr:to>
    <xdr:sp>
      <xdr:nvSpPr>
        <xdr:cNvPr id="43" name="NOI Note"/>
        <xdr:cNvSpPr/>
      </xdr:nvSpPr>
      <xdr:spPr>
        <a:xfrm>
          <a:off x="1190520" y="26393760"/>
          <a:ext cx="2703960" cy="608760"/>
        </a:xfrm>
        <a:prstGeom prst="rect">
          <a:avLst/>
        </a:prstGeom>
        <a:solidFill>
          <a:srgbClr val="ffffff"/>
        </a:solidFill>
        <a:ln w="12700">
          <a:solidFill>
            <a:srgbClr val="a31f34"/>
          </a:solidFill>
          <a:round/>
        </a:ln>
      </xdr:spPr>
      <xdr:style>
        <a:lnRef idx="0"/>
        <a:fillRef idx="0"/>
        <a:effectRef idx="0"/>
        <a:fontRef idx="minor"/>
      </xdr:style>
      <xdr:txBody>
        <a:bodyPr horzOverflow="clip" vertOverflow="clip" lIns="36000" rIns="36000" tIns="18000" bIns="18000" anchor="t">
          <a:noAutofit/>
        </a:bodyPr>
        <a:p>
          <a:pPr>
            <a:lnSpc>
              <a:spcPct val="100000"/>
            </a:lnSpc>
          </a:pPr>
          <a:r>
            <a:rPr b="0" lang="en-US" sz="900" spc="-1" strike="noStrike">
              <a:solidFill>
                <a:srgbClr val="404040"/>
              </a:solidFill>
              <a:latin typeface="Times New Roman"/>
            </a:rPr>
            <a:t>Red labels on the NOI bars show NOI growth YoY. 2021-2025: NOI +39%; stabilized TEV -30%; multiple 30.0x to 15.2x. Figures are aggregate, not per share; shares outstanding grew ~1.8% per year (17% cumulative, 2016-2025).</a:t>
          </a:r>
          <a:endParaRPr b="0" lang="en-US" sz="900" spc="-1" strike="noStrike">
            <a:latin typeface="Times New Roman"/>
          </a:endParaRPr>
        </a:p>
      </xdr:txBody>
    </xdr:sp>
    <xdr:clientData/>
  </xdr:twoCellAnchor>
  <xdr:twoCellAnchor editAs="oneCell">
    <xdr:from>
      <xdr:col>1</xdr:col>
      <xdr:colOff>171360</xdr:colOff>
      <xdr:row>162</xdr:row>
      <xdr:rowOff>76320</xdr:rowOff>
    </xdr:from>
    <xdr:to>
      <xdr:col>4</xdr:col>
      <xdr:colOff>636840</xdr:colOff>
      <xdr:row>165</xdr:row>
      <xdr:rowOff>160920</xdr:rowOff>
    </xdr:to>
    <xdr:sp>
      <xdr:nvSpPr>
        <xdr:cNvPr id="44" name="LCF Note"/>
        <xdr:cNvSpPr/>
      </xdr:nvSpPr>
      <xdr:spPr>
        <a:xfrm>
          <a:off x="1228680" y="31699440"/>
          <a:ext cx="3637440" cy="655920"/>
        </a:xfrm>
        <a:prstGeom prst="rect">
          <a:avLst/>
        </a:prstGeom>
        <a:solidFill>
          <a:srgbClr val="ffffff"/>
        </a:solidFill>
        <a:ln w="12700">
          <a:solidFill>
            <a:srgbClr val="a31f34"/>
          </a:solidFill>
          <a:round/>
        </a:ln>
      </xdr:spPr>
      <xdr:style>
        <a:lnRef idx="0"/>
        <a:fillRef idx="0"/>
        <a:effectRef idx="0"/>
        <a:fontRef idx="minor"/>
      </xdr:style>
      <xdr:txBody>
        <a:bodyPr horzOverflow="clip" vertOverflow="clip" lIns="36000" rIns="36000" tIns="18000" bIns="18000" anchor="t">
          <a:noAutofit/>
        </a:bodyPr>
        <a:p>
          <a:pPr>
            <a:lnSpc>
              <a:spcPct val="100000"/>
            </a:lnSpc>
          </a:pPr>
          <a:r>
            <a:rPr b="0" lang="en-US" sz="900" spc="-1" strike="noStrike">
              <a:solidFill>
                <a:srgbClr val="404040"/>
              </a:solidFill>
              <a:latin typeface="Times New Roman"/>
            </a:rPr>
            <a:t>Red labels on the cash-flow bars show leveraged cash flow growth YoY. 2021-2025: leveraged cash flow +38%; stabilized market cap -39%; multiple 29.6x to 13.2x. Figures are aggregate, not per share; shares outstanding grew ~1.8% per year (17% cumulative, 2016-2025).</a:t>
          </a:r>
          <a:endParaRPr b="0" lang="en-US" sz="900" spc="-1" strike="noStrike">
            <a:latin typeface="Times New Roman"/>
          </a:endParaRPr>
        </a:p>
      </xdr:txBody>
    </xdr:sp>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45</xdr:row>
      <xdr:rowOff>0</xdr:rowOff>
    </xdr:from>
    <xdr:to>
      <xdr:col>10</xdr:col>
      <xdr:colOff>297720</xdr:colOff>
      <xdr:row>69</xdr:row>
      <xdr:rowOff>102960</xdr:rowOff>
    </xdr:to>
    <xdr:graphicFrame>
      <xdr:nvGraphicFramePr>
        <xdr:cNvPr id="45" name="Chart 1"/>
        <xdr:cNvGraphicFramePr/>
      </xdr:nvGraphicFramePr>
      <xdr:xfrm>
        <a:off x="0" y="9334440"/>
        <a:ext cx="10870560" cy="467496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73</xdr:row>
      <xdr:rowOff>0</xdr:rowOff>
    </xdr:from>
    <xdr:to>
      <xdr:col>10</xdr:col>
      <xdr:colOff>297720</xdr:colOff>
      <xdr:row>97</xdr:row>
      <xdr:rowOff>102960</xdr:rowOff>
    </xdr:to>
    <xdr:graphicFrame>
      <xdr:nvGraphicFramePr>
        <xdr:cNvPr id="46" name="Chart 2"/>
        <xdr:cNvGraphicFramePr/>
      </xdr:nvGraphicFramePr>
      <xdr:xfrm>
        <a:off x="0" y="14668560"/>
        <a:ext cx="10870560" cy="467496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101</xdr:row>
      <xdr:rowOff>0</xdr:rowOff>
    </xdr:from>
    <xdr:to>
      <xdr:col>10</xdr:col>
      <xdr:colOff>297720</xdr:colOff>
      <xdr:row>125</xdr:row>
      <xdr:rowOff>102960</xdr:rowOff>
    </xdr:to>
    <xdr:graphicFrame>
      <xdr:nvGraphicFramePr>
        <xdr:cNvPr id="47" name="Chart 3"/>
        <xdr:cNvGraphicFramePr/>
      </xdr:nvGraphicFramePr>
      <xdr:xfrm>
        <a:off x="0" y="20002680"/>
        <a:ext cx="10870560" cy="467496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325</xdr:row>
      <xdr:rowOff>0</xdr:rowOff>
    </xdr:from>
    <xdr:to>
      <xdr:col>10</xdr:col>
      <xdr:colOff>297720</xdr:colOff>
      <xdr:row>349</xdr:row>
      <xdr:rowOff>102960</xdr:rowOff>
    </xdr:to>
    <xdr:graphicFrame>
      <xdr:nvGraphicFramePr>
        <xdr:cNvPr id="48" name="Chart 4"/>
        <xdr:cNvGraphicFramePr/>
      </xdr:nvGraphicFramePr>
      <xdr:xfrm>
        <a:off x="0" y="62674560"/>
        <a:ext cx="10870560" cy="467496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353</xdr:row>
      <xdr:rowOff>0</xdr:rowOff>
    </xdr:from>
    <xdr:to>
      <xdr:col>10</xdr:col>
      <xdr:colOff>297720</xdr:colOff>
      <xdr:row>377</xdr:row>
      <xdr:rowOff>102960</xdr:rowOff>
    </xdr:to>
    <xdr:graphicFrame>
      <xdr:nvGraphicFramePr>
        <xdr:cNvPr id="49" name="Chart 5"/>
        <xdr:cNvGraphicFramePr/>
      </xdr:nvGraphicFramePr>
      <xdr:xfrm>
        <a:off x="0" y="68008680"/>
        <a:ext cx="10870560" cy="467496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0</xdr:col>
      <xdr:colOff>0</xdr:colOff>
      <xdr:row>129</xdr:row>
      <xdr:rowOff>0</xdr:rowOff>
    </xdr:from>
    <xdr:to>
      <xdr:col>10</xdr:col>
      <xdr:colOff>297720</xdr:colOff>
      <xdr:row>153</xdr:row>
      <xdr:rowOff>102960</xdr:rowOff>
    </xdr:to>
    <xdr:graphicFrame>
      <xdr:nvGraphicFramePr>
        <xdr:cNvPr id="50" name="Chart 6"/>
        <xdr:cNvGraphicFramePr/>
      </xdr:nvGraphicFramePr>
      <xdr:xfrm>
        <a:off x="0" y="25336440"/>
        <a:ext cx="10870560" cy="467496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0</xdr:col>
      <xdr:colOff>0</xdr:colOff>
      <xdr:row>157</xdr:row>
      <xdr:rowOff>0</xdr:rowOff>
    </xdr:from>
    <xdr:to>
      <xdr:col>10</xdr:col>
      <xdr:colOff>297720</xdr:colOff>
      <xdr:row>181</xdr:row>
      <xdr:rowOff>102960</xdr:rowOff>
    </xdr:to>
    <xdr:graphicFrame>
      <xdr:nvGraphicFramePr>
        <xdr:cNvPr id="51" name="Chart 7"/>
        <xdr:cNvGraphicFramePr/>
      </xdr:nvGraphicFramePr>
      <xdr:xfrm>
        <a:off x="0" y="30670560"/>
        <a:ext cx="10870560" cy="467496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381</xdr:row>
      <xdr:rowOff>0</xdr:rowOff>
    </xdr:from>
    <xdr:to>
      <xdr:col>10</xdr:col>
      <xdr:colOff>297720</xdr:colOff>
      <xdr:row>405</xdr:row>
      <xdr:rowOff>102960</xdr:rowOff>
    </xdr:to>
    <xdr:graphicFrame>
      <xdr:nvGraphicFramePr>
        <xdr:cNvPr id="52" name="Chart 8"/>
        <xdr:cNvGraphicFramePr/>
      </xdr:nvGraphicFramePr>
      <xdr:xfrm>
        <a:off x="0" y="73342440"/>
        <a:ext cx="10870560" cy="467496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0</xdr:col>
      <xdr:colOff>0</xdr:colOff>
      <xdr:row>241</xdr:row>
      <xdr:rowOff>0</xdr:rowOff>
    </xdr:from>
    <xdr:to>
      <xdr:col>10</xdr:col>
      <xdr:colOff>297720</xdr:colOff>
      <xdr:row>265</xdr:row>
      <xdr:rowOff>102960</xdr:rowOff>
    </xdr:to>
    <xdr:graphicFrame>
      <xdr:nvGraphicFramePr>
        <xdr:cNvPr id="53" name="Chart 9"/>
        <xdr:cNvGraphicFramePr/>
      </xdr:nvGraphicFramePr>
      <xdr:xfrm>
        <a:off x="0" y="46672560"/>
        <a:ext cx="10870560" cy="467496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0</xdr:col>
      <xdr:colOff>0</xdr:colOff>
      <xdr:row>185</xdr:row>
      <xdr:rowOff>0</xdr:rowOff>
    </xdr:from>
    <xdr:to>
      <xdr:col>10</xdr:col>
      <xdr:colOff>297720</xdr:colOff>
      <xdr:row>209</xdr:row>
      <xdr:rowOff>102960</xdr:rowOff>
    </xdr:to>
    <xdr:graphicFrame>
      <xdr:nvGraphicFramePr>
        <xdr:cNvPr id="54" name="Chart 10"/>
        <xdr:cNvGraphicFramePr/>
      </xdr:nvGraphicFramePr>
      <xdr:xfrm>
        <a:off x="0" y="36004680"/>
        <a:ext cx="10870560" cy="467496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0</xdr:col>
      <xdr:colOff>0</xdr:colOff>
      <xdr:row>213</xdr:row>
      <xdr:rowOff>0</xdr:rowOff>
    </xdr:from>
    <xdr:to>
      <xdr:col>10</xdr:col>
      <xdr:colOff>297720</xdr:colOff>
      <xdr:row>237</xdr:row>
      <xdr:rowOff>102960</xdr:rowOff>
    </xdr:to>
    <xdr:graphicFrame>
      <xdr:nvGraphicFramePr>
        <xdr:cNvPr id="55" name="Chart 11"/>
        <xdr:cNvGraphicFramePr/>
      </xdr:nvGraphicFramePr>
      <xdr:xfrm>
        <a:off x="0" y="41338440"/>
        <a:ext cx="10870560" cy="467496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0</xdr:col>
      <xdr:colOff>0</xdr:colOff>
      <xdr:row>297</xdr:row>
      <xdr:rowOff>0</xdr:rowOff>
    </xdr:from>
    <xdr:to>
      <xdr:col>10</xdr:col>
      <xdr:colOff>297720</xdr:colOff>
      <xdr:row>321</xdr:row>
      <xdr:rowOff>102960</xdr:rowOff>
    </xdr:to>
    <xdr:graphicFrame>
      <xdr:nvGraphicFramePr>
        <xdr:cNvPr id="56" name="Chart 12"/>
        <xdr:cNvGraphicFramePr/>
      </xdr:nvGraphicFramePr>
      <xdr:xfrm>
        <a:off x="0" y="57340440"/>
        <a:ext cx="10870560" cy="467496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0</xdr:col>
      <xdr:colOff>0</xdr:colOff>
      <xdr:row>269</xdr:row>
      <xdr:rowOff>0</xdr:rowOff>
    </xdr:from>
    <xdr:to>
      <xdr:col>10</xdr:col>
      <xdr:colOff>297720</xdr:colOff>
      <xdr:row>293</xdr:row>
      <xdr:rowOff>102960</xdr:rowOff>
    </xdr:to>
    <xdr:graphicFrame>
      <xdr:nvGraphicFramePr>
        <xdr:cNvPr id="57" name="Chart 13"/>
        <xdr:cNvGraphicFramePr/>
      </xdr:nvGraphicFramePr>
      <xdr:xfrm>
        <a:off x="0" y="52006680"/>
        <a:ext cx="10870560" cy="467496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1</xdr:col>
      <xdr:colOff>133200</xdr:colOff>
      <xdr:row>134</xdr:row>
      <xdr:rowOff>104760</xdr:rowOff>
    </xdr:from>
    <xdr:to>
      <xdr:col>3</xdr:col>
      <xdr:colOff>722520</xdr:colOff>
      <xdr:row>137</xdr:row>
      <xdr:rowOff>141840</xdr:rowOff>
    </xdr:to>
    <xdr:sp>
      <xdr:nvSpPr>
        <xdr:cNvPr id="58" name="NOI Note"/>
        <xdr:cNvSpPr/>
      </xdr:nvSpPr>
      <xdr:spPr>
        <a:xfrm>
          <a:off x="1190520" y="26393760"/>
          <a:ext cx="2703960" cy="608760"/>
        </a:xfrm>
        <a:prstGeom prst="rect">
          <a:avLst/>
        </a:prstGeom>
        <a:solidFill>
          <a:srgbClr val="ffffff"/>
        </a:solidFill>
        <a:ln w="12700">
          <a:solidFill>
            <a:srgbClr val="a31f34"/>
          </a:solidFill>
          <a:round/>
        </a:ln>
      </xdr:spPr>
      <xdr:style>
        <a:lnRef idx="0"/>
        <a:fillRef idx="0"/>
        <a:effectRef idx="0"/>
        <a:fontRef idx="minor"/>
      </xdr:style>
      <xdr:txBody>
        <a:bodyPr horzOverflow="clip" vertOverflow="clip" lIns="36000" rIns="36000" tIns="18000" bIns="18000" anchor="t">
          <a:noAutofit/>
        </a:bodyPr>
        <a:p>
          <a:pPr>
            <a:lnSpc>
              <a:spcPct val="100000"/>
            </a:lnSpc>
          </a:pPr>
          <a:r>
            <a:rPr b="0" lang="en-US" sz="900" spc="-1" strike="noStrike">
              <a:solidFill>
                <a:srgbClr val="404040"/>
              </a:solidFill>
              <a:latin typeface="Times New Roman"/>
            </a:rPr>
            <a:t>Red labels on the NOI bars show NOI growth YoY. 2021-2025: NOI +33%; stabilized TEV -24%; multiple 28.4x to 16.1x. Figures are aggregate, not per share; shares outstanding grew ~0.3% per year (3% cumulative, 2016-2025).</a:t>
          </a:r>
          <a:endParaRPr b="0" lang="en-US" sz="900" spc="-1" strike="noStrike">
            <a:latin typeface="Times New Roman"/>
          </a:endParaRPr>
        </a:p>
      </xdr:txBody>
    </xdr:sp>
    <xdr:clientData/>
  </xdr:twoCellAnchor>
  <xdr:twoCellAnchor editAs="oneCell">
    <xdr:from>
      <xdr:col>1</xdr:col>
      <xdr:colOff>171360</xdr:colOff>
      <xdr:row>162</xdr:row>
      <xdr:rowOff>76320</xdr:rowOff>
    </xdr:from>
    <xdr:to>
      <xdr:col>4</xdr:col>
      <xdr:colOff>636840</xdr:colOff>
      <xdr:row>165</xdr:row>
      <xdr:rowOff>160920</xdr:rowOff>
    </xdr:to>
    <xdr:sp>
      <xdr:nvSpPr>
        <xdr:cNvPr id="59" name="LCF Note"/>
        <xdr:cNvSpPr/>
      </xdr:nvSpPr>
      <xdr:spPr>
        <a:xfrm>
          <a:off x="1228680" y="31699440"/>
          <a:ext cx="3637440" cy="655920"/>
        </a:xfrm>
        <a:prstGeom prst="rect">
          <a:avLst/>
        </a:prstGeom>
        <a:solidFill>
          <a:srgbClr val="ffffff"/>
        </a:solidFill>
        <a:ln w="12700">
          <a:solidFill>
            <a:srgbClr val="a31f34"/>
          </a:solidFill>
          <a:round/>
        </a:ln>
      </xdr:spPr>
      <xdr:style>
        <a:lnRef idx="0"/>
        <a:fillRef idx="0"/>
        <a:effectRef idx="0"/>
        <a:fontRef idx="minor"/>
      </xdr:style>
      <xdr:txBody>
        <a:bodyPr horzOverflow="clip" vertOverflow="clip" lIns="36000" rIns="36000" tIns="18000" bIns="18000" anchor="t">
          <a:noAutofit/>
        </a:bodyPr>
        <a:p>
          <a:pPr>
            <a:lnSpc>
              <a:spcPct val="100000"/>
            </a:lnSpc>
          </a:pPr>
          <a:r>
            <a:rPr b="0" lang="en-US" sz="900" spc="-1" strike="noStrike">
              <a:solidFill>
                <a:srgbClr val="404040"/>
              </a:solidFill>
              <a:latin typeface="Times New Roman"/>
            </a:rPr>
            <a:t>Red labels on the cash-flow bars show leveraged cash flow growth YoY. 2021-2025: leveraged cash flow +35%; stabilized market cap -33%; multiple 27.5x to 13.6x. Figures are aggregate, not per share; shares outstanding grew ~0.3% per year (3% cumulative, 2016-2025).</a:t>
          </a:r>
          <a:endParaRPr b="0" lang="en-US" sz="900" spc="-1" strike="noStrike">
            <a:latin typeface="Times New Roman"/>
          </a:endParaRPr>
        </a:p>
      </xdr:txBody>
    </xdr:sp>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3.xml.rels><?xml version="1.0" encoding="UTF-8"?>
<Relationships xmlns="http://schemas.openxmlformats.org/package/2006/relationships"><Relationship Id="rId1" Type="http://schemas.openxmlformats.org/officeDocument/2006/relationships/drawing" Target="../drawings/drawing1.xml"/>
</Relationships>
</file>

<file path=xl/worksheets/_rels/sheet5.xml.rels><?xml version="1.0" encoding="UTF-8"?>
<Relationships xmlns="http://schemas.openxmlformats.org/package/2006/relationships"><Relationship Id="rId1" Type="http://schemas.openxmlformats.org/officeDocument/2006/relationships/drawing" Target="../drawings/drawing2.xml"/>
</Relationships>
</file>

<file path=xl/worksheets/_rels/sheet7.xml.rels><?xml version="1.0" encoding="UTF-8"?>
<Relationships xmlns="http://schemas.openxmlformats.org/package/2006/relationships"><Relationship Id="rId1" Type="http://schemas.openxmlformats.org/officeDocument/2006/relationships/drawing" Target="../drawings/drawing3.xml"/>
</Relationships>
</file>

<file path=xl/worksheets/_rels/sheet9.xml.rels><?xml version="1.0" encoding="UTF-8"?>
<Relationships xmlns="http://schemas.openxmlformats.org/package/2006/relationships"><Relationship Id="rId1"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371"/>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13"/>
    <col collapsed="false" customWidth="true" hidden="false" outlineLevel="0" max="2" min="2" style="1" width="62"/>
    <col collapsed="false" customWidth="true" hidden="false" outlineLevel="0" max="3" min="3" style="1" width="22"/>
    <col collapsed="false" customWidth="true" hidden="false" outlineLevel="0" max="4" min="4" style="1" width="26"/>
    <col collapsed="false" customWidth="true" hidden="false" outlineLevel="0" max="5" min="5" style="1" width="58"/>
    <col collapsed="false" customWidth="true" hidden="false" outlineLevel="0" max="6" min="6" style="1" width="14"/>
    <col collapsed="false" customWidth="true" hidden="false" outlineLevel="0" max="7" min="7" style="1" width="12"/>
  </cols>
  <sheetData>
    <row r="1" customFormat="false" ht="15" hidden="false" customHeight="true" outlineLevel="0" collapsed="false">
      <c r="A1" s="2" t="s">
        <v>0</v>
      </c>
      <c r="B1" s="2" t="s">
        <v>1</v>
      </c>
      <c r="C1" s="2" t="s">
        <v>2</v>
      </c>
      <c r="D1" s="2" t="s">
        <v>3</v>
      </c>
      <c r="E1" s="2" t="s">
        <v>4</v>
      </c>
      <c r="F1" s="2" t="s">
        <v>5</v>
      </c>
      <c r="G1" s="2" t="s">
        <v>6</v>
      </c>
    </row>
    <row r="2" customFormat="false" ht="23.25" hidden="false" customHeight="true" outlineLevel="0" collapsed="false">
      <c r="A2" s="3" t="s">
        <v>7</v>
      </c>
      <c r="B2" s="3" t="s">
        <v>8</v>
      </c>
      <c r="C2" s="3" t="s">
        <v>9</v>
      </c>
      <c r="D2" s="3" t="s">
        <v>10</v>
      </c>
      <c r="E2" s="3" t="s">
        <v>11</v>
      </c>
      <c r="F2" s="3" t="s">
        <v>12</v>
      </c>
      <c r="G2" s="3" t="s">
        <v>13</v>
      </c>
    </row>
    <row r="3" customFormat="false" ht="34.5" hidden="false" customHeight="true" outlineLevel="0" collapsed="false">
      <c r="A3" s="3" t="s">
        <v>7</v>
      </c>
      <c r="B3" s="3" t="s">
        <v>14</v>
      </c>
      <c r="C3" s="3" t="s">
        <v>9</v>
      </c>
      <c r="D3" s="3" t="s">
        <v>10</v>
      </c>
      <c r="E3" s="3" t="s">
        <v>11</v>
      </c>
      <c r="F3" s="3" t="s">
        <v>12</v>
      </c>
      <c r="G3" s="3" t="s">
        <v>13</v>
      </c>
    </row>
    <row r="4" customFormat="false" ht="57" hidden="false" customHeight="true" outlineLevel="0" collapsed="false">
      <c r="A4" s="3" t="s">
        <v>7</v>
      </c>
      <c r="B4" s="3" t="s">
        <v>15</v>
      </c>
      <c r="C4" s="3" t="s">
        <v>9</v>
      </c>
      <c r="D4" s="3" t="s">
        <v>10</v>
      </c>
      <c r="E4" s="3" t="s">
        <v>11</v>
      </c>
      <c r="F4" s="3" t="s">
        <v>12</v>
      </c>
      <c r="G4" s="3" t="s">
        <v>13</v>
      </c>
    </row>
    <row r="5" customFormat="false" ht="57" hidden="false" customHeight="true" outlineLevel="0" collapsed="false">
      <c r="A5" s="3" t="s">
        <v>7</v>
      </c>
      <c r="B5" s="3" t="s">
        <v>16</v>
      </c>
      <c r="C5" s="3" t="s">
        <v>9</v>
      </c>
      <c r="D5" s="3" t="s">
        <v>10</v>
      </c>
      <c r="E5" s="3" t="s">
        <v>11</v>
      </c>
      <c r="F5" s="3" t="s">
        <v>12</v>
      </c>
      <c r="G5" s="3" t="s">
        <v>13</v>
      </c>
    </row>
    <row r="6" customFormat="false" ht="23.25" hidden="false" customHeight="true" outlineLevel="0" collapsed="false">
      <c r="A6" s="3" t="s">
        <v>7</v>
      </c>
      <c r="B6" s="3" t="s">
        <v>17</v>
      </c>
      <c r="C6" s="3" t="s">
        <v>9</v>
      </c>
      <c r="D6" s="3" t="s">
        <v>10</v>
      </c>
      <c r="E6" s="3" t="s">
        <v>11</v>
      </c>
      <c r="F6" s="3" t="s">
        <v>12</v>
      </c>
      <c r="G6" s="3" t="s">
        <v>13</v>
      </c>
    </row>
    <row r="7" customFormat="false" ht="57" hidden="false" customHeight="true" outlineLevel="0" collapsed="false">
      <c r="A7" s="3" t="s">
        <v>7</v>
      </c>
      <c r="B7" s="3" t="s">
        <v>18</v>
      </c>
      <c r="C7" s="3" t="s">
        <v>9</v>
      </c>
      <c r="D7" s="3" t="s">
        <v>10</v>
      </c>
      <c r="E7" s="3" t="s">
        <v>11</v>
      </c>
      <c r="F7" s="3" t="s">
        <v>12</v>
      </c>
      <c r="G7" s="3" t="s">
        <v>13</v>
      </c>
    </row>
    <row r="8" customFormat="false" ht="15" hidden="false" customHeight="true" outlineLevel="0" collapsed="false">
      <c r="A8" s="3" t="s">
        <v>19</v>
      </c>
      <c r="B8" s="3" t="s">
        <v>20</v>
      </c>
      <c r="C8" s="3" t="s">
        <v>21</v>
      </c>
      <c r="D8" s="3" t="s">
        <v>22</v>
      </c>
      <c r="E8" s="3" t="s">
        <v>23</v>
      </c>
      <c r="F8" s="3" t="s">
        <v>24</v>
      </c>
      <c r="G8" s="3" t="s">
        <v>13</v>
      </c>
    </row>
    <row r="9" customFormat="false" ht="15" hidden="false" customHeight="true" outlineLevel="0" collapsed="false">
      <c r="A9" s="3" t="s">
        <v>19</v>
      </c>
      <c r="B9" s="3" t="s">
        <v>25</v>
      </c>
      <c r="C9" s="3" t="s">
        <v>21</v>
      </c>
      <c r="D9" s="3" t="s">
        <v>22</v>
      </c>
      <c r="E9" s="3" t="s">
        <v>26</v>
      </c>
      <c r="F9" s="3" t="s">
        <v>24</v>
      </c>
      <c r="G9" s="3" t="s">
        <v>13</v>
      </c>
    </row>
    <row r="10" customFormat="false" ht="15" hidden="false" customHeight="true" outlineLevel="0" collapsed="false">
      <c r="A10" s="3" t="s">
        <v>19</v>
      </c>
      <c r="B10" s="3" t="s">
        <v>27</v>
      </c>
      <c r="C10" s="3" t="s">
        <v>21</v>
      </c>
      <c r="D10" s="3" t="s">
        <v>22</v>
      </c>
      <c r="E10" s="3" t="s">
        <v>28</v>
      </c>
      <c r="F10" s="3" t="s">
        <v>24</v>
      </c>
      <c r="G10" s="3" t="s">
        <v>13</v>
      </c>
    </row>
    <row r="11" customFormat="false" ht="23.25" hidden="false" customHeight="true" outlineLevel="0" collapsed="false">
      <c r="A11" s="3" t="s">
        <v>19</v>
      </c>
      <c r="B11" s="3" t="s">
        <v>29</v>
      </c>
      <c r="C11" s="3" t="s">
        <v>21</v>
      </c>
      <c r="D11" s="3" t="s">
        <v>22</v>
      </c>
      <c r="E11" s="3" t="s">
        <v>30</v>
      </c>
      <c r="F11" s="3" t="s">
        <v>24</v>
      </c>
      <c r="G11" s="3" t="s">
        <v>13</v>
      </c>
    </row>
    <row r="12" customFormat="false" ht="15" hidden="false" customHeight="true" outlineLevel="0" collapsed="false">
      <c r="A12" s="3" t="s">
        <v>19</v>
      </c>
      <c r="B12" s="3" t="s">
        <v>31</v>
      </c>
      <c r="C12" s="3" t="s">
        <v>21</v>
      </c>
      <c r="D12" s="3" t="s">
        <v>22</v>
      </c>
      <c r="E12" s="3" t="s">
        <v>30</v>
      </c>
      <c r="F12" s="3" t="s">
        <v>24</v>
      </c>
      <c r="G12" s="3" t="s">
        <v>13</v>
      </c>
    </row>
    <row r="13" customFormat="false" ht="15" hidden="false" customHeight="true" outlineLevel="0" collapsed="false">
      <c r="A13" s="3" t="s">
        <v>19</v>
      </c>
      <c r="B13" s="3" t="s">
        <v>32</v>
      </c>
      <c r="C13" s="3" t="s">
        <v>21</v>
      </c>
      <c r="D13" s="3" t="s">
        <v>22</v>
      </c>
      <c r="E13" s="3" t="s">
        <v>33</v>
      </c>
      <c r="F13" s="3" t="s">
        <v>24</v>
      </c>
      <c r="G13" s="3" t="s">
        <v>13</v>
      </c>
    </row>
    <row r="14" customFormat="false" ht="15" hidden="false" customHeight="true" outlineLevel="0" collapsed="false">
      <c r="A14" s="3" t="s">
        <v>19</v>
      </c>
      <c r="B14" s="3" t="s">
        <v>34</v>
      </c>
      <c r="C14" s="3" t="s">
        <v>21</v>
      </c>
      <c r="D14" s="3" t="s">
        <v>22</v>
      </c>
      <c r="E14" s="3" t="s">
        <v>35</v>
      </c>
      <c r="F14" s="3" t="s">
        <v>24</v>
      </c>
      <c r="G14" s="3" t="s">
        <v>13</v>
      </c>
    </row>
    <row r="15" customFormat="false" ht="15" hidden="false" customHeight="true" outlineLevel="0" collapsed="false">
      <c r="A15" s="3" t="s">
        <v>19</v>
      </c>
      <c r="B15" s="3" t="s">
        <v>36</v>
      </c>
      <c r="C15" s="3" t="s">
        <v>21</v>
      </c>
      <c r="D15" s="3" t="s">
        <v>22</v>
      </c>
      <c r="E15" s="3" t="s">
        <v>35</v>
      </c>
      <c r="F15" s="3" t="s">
        <v>24</v>
      </c>
      <c r="G15" s="3" t="s">
        <v>13</v>
      </c>
    </row>
    <row r="16" customFormat="false" ht="15" hidden="false" customHeight="true" outlineLevel="0" collapsed="false">
      <c r="A16" s="3" t="s">
        <v>19</v>
      </c>
      <c r="B16" s="3" t="s">
        <v>37</v>
      </c>
      <c r="C16" s="3" t="s">
        <v>21</v>
      </c>
      <c r="D16" s="3" t="s">
        <v>22</v>
      </c>
      <c r="E16" s="3" t="s">
        <v>35</v>
      </c>
      <c r="F16" s="3" t="s">
        <v>24</v>
      </c>
      <c r="G16" s="3" t="s">
        <v>13</v>
      </c>
    </row>
    <row r="17" customFormat="false" ht="15" hidden="false" customHeight="true" outlineLevel="0" collapsed="false">
      <c r="A17" s="3" t="s">
        <v>19</v>
      </c>
      <c r="B17" s="3" t="s">
        <v>38</v>
      </c>
      <c r="C17" s="3" t="s">
        <v>21</v>
      </c>
      <c r="D17" s="3" t="s">
        <v>22</v>
      </c>
      <c r="E17" s="3" t="s">
        <v>30</v>
      </c>
      <c r="F17" s="3" t="s">
        <v>24</v>
      </c>
      <c r="G17" s="3" t="s">
        <v>13</v>
      </c>
    </row>
    <row r="18" customFormat="false" ht="15" hidden="false" customHeight="true" outlineLevel="0" collapsed="false">
      <c r="A18" s="3" t="s">
        <v>19</v>
      </c>
      <c r="B18" s="3" t="s">
        <v>39</v>
      </c>
      <c r="C18" s="3" t="s">
        <v>21</v>
      </c>
      <c r="D18" s="3" t="s">
        <v>22</v>
      </c>
      <c r="E18" s="3" t="s">
        <v>40</v>
      </c>
      <c r="F18" s="3" t="s">
        <v>24</v>
      </c>
      <c r="G18" s="3" t="s">
        <v>13</v>
      </c>
    </row>
    <row r="19" customFormat="false" ht="23.25" hidden="false" customHeight="true" outlineLevel="0" collapsed="false">
      <c r="A19" s="3" t="s">
        <v>19</v>
      </c>
      <c r="B19" s="3" t="s">
        <v>41</v>
      </c>
      <c r="C19" s="3" t="s">
        <v>21</v>
      </c>
      <c r="D19" s="3" t="s">
        <v>22</v>
      </c>
      <c r="E19" s="3" t="s">
        <v>42</v>
      </c>
      <c r="F19" s="3" t="s">
        <v>24</v>
      </c>
      <c r="G19" s="3" t="s">
        <v>13</v>
      </c>
    </row>
    <row r="20" customFormat="false" ht="15" hidden="false" customHeight="true" outlineLevel="0" collapsed="false">
      <c r="A20" s="3" t="s">
        <v>19</v>
      </c>
      <c r="B20" s="3" t="s">
        <v>43</v>
      </c>
      <c r="C20" s="3" t="s">
        <v>21</v>
      </c>
      <c r="D20" s="3" t="s">
        <v>22</v>
      </c>
      <c r="E20" s="3" t="s">
        <v>40</v>
      </c>
      <c r="F20" s="3" t="s">
        <v>24</v>
      </c>
      <c r="G20" s="3" t="s">
        <v>13</v>
      </c>
    </row>
    <row r="21" customFormat="false" ht="15" hidden="false" customHeight="true" outlineLevel="0" collapsed="false">
      <c r="A21" s="3" t="s">
        <v>19</v>
      </c>
      <c r="B21" s="3" t="s">
        <v>44</v>
      </c>
      <c r="C21" s="3" t="s">
        <v>21</v>
      </c>
      <c r="D21" s="3" t="s">
        <v>22</v>
      </c>
      <c r="E21" s="3" t="s">
        <v>45</v>
      </c>
      <c r="F21" s="3" t="s">
        <v>24</v>
      </c>
      <c r="G21" s="3" t="s">
        <v>13</v>
      </c>
    </row>
    <row r="22" customFormat="false" ht="15" hidden="false" customHeight="true" outlineLevel="0" collapsed="false">
      <c r="A22" s="3" t="s">
        <v>19</v>
      </c>
      <c r="B22" s="3" t="s">
        <v>46</v>
      </c>
      <c r="C22" s="3" t="s">
        <v>21</v>
      </c>
      <c r="D22" s="3" t="s">
        <v>22</v>
      </c>
      <c r="E22" s="3" t="s">
        <v>47</v>
      </c>
      <c r="F22" s="3" t="s">
        <v>24</v>
      </c>
      <c r="G22" s="3" t="s">
        <v>13</v>
      </c>
    </row>
    <row r="23" customFormat="false" ht="23.25" hidden="false" customHeight="true" outlineLevel="0" collapsed="false">
      <c r="A23" s="3" t="s">
        <v>19</v>
      </c>
      <c r="B23" s="3" t="s">
        <v>48</v>
      </c>
      <c r="C23" s="3" t="s">
        <v>21</v>
      </c>
      <c r="D23" s="3" t="s">
        <v>22</v>
      </c>
      <c r="E23" s="3" t="s">
        <v>49</v>
      </c>
      <c r="F23" s="3" t="s">
        <v>24</v>
      </c>
      <c r="G23" s="3" t="s">
        <v>13</v>
      </c>
    </row>
    <row r="24" customFormat="false" ht="23.25" hidden="false" customHeight="true" outlineLevel="0" collapsed="false">
      <c r="A24" s="3" t="s">
        <v>19</v>
      </c>
      <c r="B24" s="3" t="s">
        <v>50</v>
      </c>
      <c r="C24" s="3" t="s">
        <v>21</v>
      </c>
      <c r="D24" s="3" t="s">
        <v>22</v>
      </c>
      <c r="E24" s="3" t="s">
        <v>51</v>
      </c>
      <c r="F24" s="3" t="s">
        <v>24</v>
      </c>
      <c r="G24" s="3" t="s">
        <v>13</v>
      </c>
    </row>
    <row r="25" customFormat="false" ht="15" hidden="false" customHeight="true" outlineLevel="0" collapsed="false">
      <c r="A25" s="3" t="s">
        <v>19</v>
      </c>
      <c r="B25" s="3" t="s">
        <v>20</v>
      </c>
      <c r="C25" s="3" t="s">
        <v>21</v>
      </c>
      <c r="D25" s="3" t="s">
        <v>22</v>
      </c>
      <c r="E25" s="3" t="s">
        <v>52</v>
      </c>
      <c r="F25" s="3" t="s">
        <v>24</v>
      </c>
      <c r="G25" s="3" t="s">
        <v>13</v>
      </c>
    </row>
    <row r="26" customFormat="false" ht="15" hidden="false" customHeight="true" outlineLevel="0" collapsed="false">
      <c r="A26" s="3" t="s">
        <v>19</v>
      </c>
      <c r="B26" s="3" t="s">
        <v>25</v>
      </c>
      <c r="C26" s="3" t="s">
        <v>21</v>
      </c>
      <c r="D26" s="3" t="s">
        <v>22</v>
      </c>
      <c r="E26" s="3" t="s">
        <v>53</v>
      </c>
      <c r="F26" s="3" t="s">
        <v>24</v>
      </c>
      <c r="G26" s="3" t="s">
        <v>13</v>
      </c>
    </row>
    <row r="27" customFormat="false" ht="15" hidden="false" customHeight="true" outlineLevel="0" collapsed="false">
      <c r="A27" s="3" t="s">
        <v>19</v>
      </c>
      <c r="B27" s="3" t="s">
        <v>27</v>
      </c>
      <c r="C27" s="3" t="s">
        <v>21</v>
      </c>
      <c r="D27" s="3" t="s">
        <v>22</v>
      </c>
      <c r="E27" s="3" t="s">
        <v>54</v>
      </c>
      <c r="F27" s="3" t="s">
        <v>24</v>
      </c>
      <c r="G27" s="3" t="s">
        <v>13</v>
      </c>
    </row>
    <row r="28" customFormat="false" ht="23.25" hidden="false" customHeight="true" outlineLevel="0" collapsed="false">
      <c r="A28" s="3" t="s">
        <v>19</v>
      </c>
      <c r="B28" s="3" t="s">
        <v>29</v>
      </c>
      <c r="C28" s="3" t="s">
        <v>21</v>
      </c>
      <c r="D28" s="3" t="s">
        <v>22</v>
      </c>
      <c r="E28" s="3" t="s">
        <v>55</v>
      </c>
      <c r="F28" s="3" t="s">
        <v>24</v>
      </c>
      <c r="G28" s="3" t="s">
        <v>13</v>
      </c>
    </row>
    <row r="29" customFormat="false" ht="15" hidden="false" customHeight="true" outlineLevel="0" collapsed="false">
      <c r="A29" s="3" t="s">
        <v>19</v>
      </c>
      <c r="B29" s="3" t="s">
        <v>31</v>
      </c>
      <c r="C29" s="3" t="s">
        <v>21</v>
      </c>
      <c r="D29" s="3" t="s">
        <v>22</v>
      </c>
      <c r="E29" s="3" t="s">
        <v>55</v>
      </c>
      <c r="F29" s="3" t="s">
        <v>24</v>
      </c>
      <c r="G29" s="3" t="s">
        <v>13</v>
      </c>
    </row>
    <row r="30" customFormat="false" ht="15" hidden="false" customHeight="true" outlineLevel="0" collapsed="false">
      <c r="A30" s="3" t="s">
        <v>19</v>
      </c>
      <c r="B30" s="3" t="s">
        <v>32</v>
      </c>
      <c r="C30" s="3" t="s">
        <v>21</v>
      </c>
      <c r="D30" s="3" t="s">
        <v>22</v>
      </c>
      <c r="E30" s="3" t="s">
        <v>56</v>
      </c>
      <c r="F30" s="3" t="s">
        <v>24</v>
      </c>
      <c r="G30" s="3" t="s">
        <v>13</v>
      </c>
    </row>
    <row r="31" customFormat="false" ht="15" hidden="false" customHeight="true" outlineLevel="0" collapsed="false">
      <c r="A31" s="3" t="s">
        <v>19</v>
      </c>
      <c r="B31" s="3" t="s">
        <v>34</v>
      </c>
      <c r="C31" s="3" t="s">
        <v>21</v>
      </c>
      <c r="D31" s="3" t="s">
        <v>22</v>
      </c>
      <c r="E31" s="3" t="s">
        <v>57</v>
      </c>
      <c r="F31" s="3" t="s">
        <v>24</v>
      </c>
      <c r="G31" s="3" t="s">
        <v>13</v>
      </c>
    </row>
    <row r="32" customFormat="false" ht="15" hidden="false" customHeight="true" outlineLevel="0" collapsed="false">
      <c r="A32" s="3" t="s">
        <v>19</v>
      </c>
      <c r="B32" s="3" t="s">
        <v>36</v>
      </c>
      <c r="C32" s="3" t="s">
        <v>21</v>
      </c>
      <c r="D32" s="3" t="s">
        <v>22</v>
      </c>
      <c r="E32" s="3" t="s">
        <v>57</v>
      </c>
      <c r="F32" s="3" t="s">
        <v>24</v>
      </c>
      <c r="G32" s="3" t="s">
        <v>13</v>
      </c>
    </row>
    <row r="33" customFormat="false" ht="15" hidden="false" customHeight="true" outlineLevel="0" collapsed="false">
      <c r="A33" s="3" t="s">
        <v>19</v>
      </c>
      <c r="B33" s="3" t="s">
        <v>37</v>
      </c>
      <c r="C33" s="3" t="s">
        <v>21</v>
      </c>
      <c r="D33" s="3" t="s">
        <v>22</v>
      </c>
      <c r="E33" s="3" t="s">
        <v>57</v>
      </c>
      <c r="F33" s="3" t="s">
        <v>24</v>
      </c>
      <c r="G33" s="3" t="s">
        <v>13</v>
      </c>
    </row>
    <row r="34" customFormat="false" ht="15" hidden="false" customHeight="true" outlineLevel="0" collapsed="false">
      <c r="A34" s="3" t="s">
        <v>19</v>
      </c>
      <c r="B34" s="3" t="s">
        <v>38</v>
      </c>
      <c r="C34" s="3" t="s">
        <v>21</v>
      </c>
      <c r="D34" s="3" t="s">
        <v>22</v>
      </c>
      <c r="E34" s="3" t="s">
        <v>55</v>
      </c>
      <c r="F34" s="3" t="s">
        <v>24</v>
      </c>
      <c r="G34" s="3" t="s">
        <v>13</v>
      </c>
    </row>
    <row r="35" customFormat="false" ht="15" hidden="false" customHeight="true" outlineLevel="0" collapsed="false">
      <c r="A35" s="3" t="s">
        <v>19</v>
      </c>
      <c r="B35" s="3" t="s">
        <v>39</v>
      </c>
      <c r="C35" s="3" t="s">
        <v>21</v>
      </c>
      <c r="D35" s="3" t="s">
        <v>22</v>
      </c>
      <c r="E35" s="3" t="s">
        <v>58</v>
      </c>
      <c r="F35" s="3" t="s">
        <v>24</v>
      </c>
      <c r="G35" s="3" t="s">
        <v>13</v>
      </c>
    </row>
    <row r="36" customFormat="false" ht="23.25" hidden="false" customHeight="true" outlineLevel="0" collapsed="false">
      <c r="A36" s="3" t="s">
        <v>19</v>
      </c>
      <c r="B36" s="3" t="s">
        <v>41</v>
      </c>
      <c r="C36" s="3" t="s">
        <v>21</v>
      </c>
      <c r="D36" s="3" t="s">
        <v>22</v>
      </c>
      <c r="E36" s="3" t="s">
        <v>59</v>
      </c>
      <c r="F36" s="3" t="s">
        <v>24</v>
      </c>
      <c r="G36" s="3" t="s">
        <v>13</v>
      </c>
    </row>
    <row r="37" customFormat="false" ht="15" hidden="false" customHeight="true" outlineLevel="0" collapsed="false">
      <c r="A37" s="3" t="s">
        <v>19</v>
      </c>
      <c r="B37" s="3" t="s">
        <v>43</v>
      </c>
      <c r="C37" s="3" t="s">
        <v>21</v>
      </c>
      <c r="D37" s="3" t="s">
        <v>22</v>
      </c>
      <c r="E37" s="3" t="s">
        <v>58</v>
      </c>
      <c r="F37" s="3" t="s">
        <v>24</v>
      </c>
      <c r="G37" s="3" t="s">
        <v>13</v>
      </c>
    </row>
    <row r="38" customFormat="false" ht="15" hidden="false" customHeight="true" outlineLevel="0" collapsed="false">
      <c r="A38" s="3" t="s">
        <v>19</v>
      </c>
      <c r="B38" s="3" t="s">
        <v>44</v>
      </c>
      <c r="C38" s="3" t="s">
        <v>21</v>
      </c>
      <c r="D38" s="3" t="s">
        <v>22</v>
      </c>
      <c r="E38" s="3" t="s">
        <v>60</v>
      </c>
      <c r="F38" s="3" t="s">
        <v>24</v>
      </c>
      <c r="G38" s="3" t="s">
        <v>13</v>
      </c>
    </row>
    <row r="39" customFormat="false" ht="15" hidden="false" customHeight="true" outlineLevel="0" collapsed="false">
      <c r="A39" s="3" t="s">
        <v>19</v>
      </c>
      <c r="B39" s="3" t="s">
        <v>46</v>
      </c>
      <c r="C39" s="3" t="s">
        <v>21</v>
      </c>
      <c r="D39" s="3" t="s">
        <v>22</v>
      </c>
      <c r="E39" s="3" t="s">
        <v>61</v>
      </c>
      <c r="F39" s="3" t="s">
        <v>24</v>
      </c>
      <c r="G39" s="3" t="s">
        <v>13</v>
      </c>
    </row>
    <row r="40" customFormat="false" ht="23.25" hidden="false" customHeight="true" outlineLevel="0" collapsed="false">
      <c r="A40" s="3" t="s">
        <v>19</v>
      </c>
      <c r="B40" s="3" t="s">
        <v>48</v>
      </c>
      <c r="C40" s="3" t="s">
        <v>21</v>
      </c>
      <c r="D40" s="3" t="s">
        <v>22</v>
      </c>
      <c r="E40" s="3" t="s">
        <v>62</v>
      </c>
      <c r="F40" s="3" t="s">
        <v>24</v>
      </c>
      <c r="G40" s="3" t="s">
        <v>13</v>
      </c>
    </row>
    <row r="41" customFormat="false" ht="23.25" hidden="false" customHeight="true" outlineLevel="0" collapsed="false">
      <c r="A41" s="3" t="s">
        <v>19</v>
      </c>
      <c r="B41" s="3" t="s">
        <v>50</v>
      </c>
      <c r="C41" s="3" t="s">
        <v>21</v>
      </c>
      <c r="D41" s="3" t="s">
        <v>22</v>
      </c>
      <c r="E41" s="3" t="s">
        <v>63</v>
      </c>
      <c r="F41" s="3" t="s">
        <v>24</v>
      </c>
      <c r="G41" s="3" t="s">
        <v>13</v>
      </c>
    </row>
    <row r="42" customFormat="false" ht="15" hidden="false" customHeight="true" outlineLevel="0" collapsed="false">
      <c r="A42" s="3" t="s">
        <v>19</v>
      </c>
      <c r="B42" s="3" t="s">
        <v>20</v>
      </c>
      <c r="C42" s="3" t="s">
        <v>21</v>
      </c>
      <c r="D42" s="3" t="s">
        <v>22</v>
      </c>
      <c r="E42" s="3" t="s">
        <v>64</v>
      </c>
      <c r="F42" s="3" t="s">
        <v>24</v>
      </c>
      <c r="G42" s="3" t="s">
        <v>13</v>
      </c>
    </row>
    <row r="43" customFormat="false" ht="15" hidden="false" customHeight="true" outlineLevel="0" collapsed="false">
      <c r="A43" s="3" t="s">
        <v>19</v>
      </c>
      <c r="B43" s="3" t="s">
        <v>25</v>
      </c>
      <c r="C43" s="3" t="s">
        <v>21</v>
      </c>
      <c r="D43" s="3" t="s">
        <v>22</v>
      </c>
      <c r="E43" s="3" t="s">
        <v>65</v>
      </c>
      <c r="F43" s="3" t="s">
        <v>24</v>
      </c>
      <c r="G43" s="3" t="s">
        <v>13</v>
      </c>
    </row>
    <row r="44" customFormat="false" ht="15" hidden="false" customHeight="true" outlineLevel="0" collapsed="false">
      <c r="A44" s="3" t="s">
        <v>19</v>
      </c>
      <c r="B44" s="3" t="s">
        <v>27</v>
      </c>
      <c r="C44" s="3" t="s">
        <v>21</v>
      </c>
      <c r="D44" s="3" t="s">
        <v>22</v>
      </c>
      <c r="E44" s="3" t="s">
        <v>66</v>
      </c>
      <c r="F44" s="3" t="s">
        <v>24</v>
      </c>
      <c r="G44" s="3" t="s">
        <v>13</v>
      </c>
    </row>
    <row r="45" customFormat="false" ht="23.25" hidden="false" customHeight="true" outlineLevel="0" collapsed="false">
      <c r="A45" s="3" t="s">
        <v>19</v>
      </c>
      <c r="B45" s="3" t="s">
        <v>29</v>
      </c>
      <c r="C45" s="3" t="s">
        <v>21</v>
      </c>
      <c r="D45" s="3" t="s">
        <v>22</v>
      </c>
      <c r="E45" s="3" t="s">
        <v>67</v>
      </c>
      <c r="F45" s="3" t="s">
        <v>24</v>
      </c>
      <c r="G45" s="3" t="s">
        <v>13</v>
      </c>
    </row>
    <row r="46" customFormat="false" ht="15" hidden="false" customHeight="true" outlineLevel="0" collapsed="false">
      <c r="A46" s="3" t="s">
        <v>19</v>
      </c>
      <c r="B46" s="3" t="s">
        <v>31</v>
      </c>
      <c r="C46" s="3" t="s">
        <v>21</v>
      </c>
      <c r="D46" s="3" t="s">
        <v>22</v>
      </c>
      <c r="E46" s="3" t="s">
        <v>67</v>
      </c>
      <c r="F46" s="3" t="s">
        <v>24</v>
      </c>
      <c r="G46" s="3" t="s">
        <v>13</v>
      </c>
    </row>
    <row r="47" customFormat="false" ht="15" hidden="false" customHeight="true" outlineLevel="0" collapsed="false">
      <c r="A47" s="3" t="s">
        <v>19</v>
      </c>
      <c r="B47" s="3" t="s">
        <v>32</v>
      </c>
      <c r="C47" s="3" t="s">
        <v>21</v>
      </c>
      <c r="D47" s="3" t="s">
        <v>22</v>
      </c>
      <c r="E47" s="3" t="s">
        <v>68</v>
      </c>
      <c r="F47" s="3" t="s">
        <v>24</v>
      </c>
      <c r="G47" s="3" t="s">
        <v>13</v>
      </c>
    </row>
    <row r="48" customFormat="false" ht="15" hidden="false" customHeight="true" outlineLevel="0" collapsed="false">
      <c r="A48" s="3" t="s">
        <v>19</v>
      </c>
      <c r="B48" s="3" t="s">
        <v>34</v>
      </c>
      <c r="C48" s="3" t="s">
        <v>21</v>
      </c>
      <c r="D48" s="3" t="s">
        <v>22</v>
      </c>
      <c r="E48" s="3" t="s">
        <v>69</v>
      </c>
      <c r="F48" s="3" t="s">
        <v>24</v>
      </c>
      <c r="G48" s="3" t="s">
        <v>13</v>
      </c>
    </row>
    <row r="49" customFormat="false" ht="15" hidden="false" customHeight="true" outlineLevel="0" collapsed="false">
      <c r="A49" s="3" t="s">
        <v>19</v>
      </c>
      <c r="B49" s="3" t="s">
        <v>36</v>
      </c>
      <c r="C49" s="3" t="s">
        <v>21</v>
      </c>
      <c r="D49" s="3" t="s">
        <v>22</v>
      </c>
      <c r="E49" s="3" t="s">
        <v>69</v>
      </c>
      <c r="F49" s="3" t="s">
        <v>24</v>
      </c>
      <c r="G49" s="3" t="s">
        <v>13</v>
      </c>
    </row>
    <row r="50" customFormat="false" ht="15" hidden="false" customHeight="true" outlineLevel="0" collapsed="false">
      <c r="A50" s="3" t="s">
        <v>19</v>
      </c>
      <c r="B50" s="3" t="s">
        <v>37</v>
      </c>
      <c r="C50" s="3" t="s">
        <v>21</v>
      </c>
      <c r="D50" s="3" t="s">
        <v>22</v>
      </c>
      <c r="E50" s="3" t="s">
        <v>69</v>
      </c>
      <c r="F50" s="3" t="s">
        <v>24</v>
      </c>
      <c r="G50" s="3" t="s">
        <v>13</v>
      </c>
    </row>
    <row r="51" customFormat="false" ht="15" hidden="false" customHeight="true" outlineLevel="0" collapsed="false">
      <c r="A51" s="3" t="s">
        <v>19</v>
      </c>
      <c r="B51" s="3" t="s">
        <v>38</v>
      </c>
      <c r="C51" s="3" t="s">
        <v>21</v>
      </c>
      <c r="D51" s="3" t="s">
        <v>22</v>
      </c>
      <c r="E51" s="3" t="s">
        <v>67</v>
      </c>
      <c r="F51" s="3" t="s">
        <v>24</v>
      </c>
      <c r="G51" s="3" t="s">
        <v>13</v>
      </c>
    </row>
    <row r="52" customFormat="false" ht="15" hidden="false" customHeight="true" outlineLevel="0" collapsed="false">
      <c r="A52" s="3" t="s">
        <v>19</v>
      </c>
      <c r="B52" s="3" t="s">
        <v>39</v>
      </c>
      <c r="C52" s="3" t="s">
        <v>21</v>
      </c>
      <c r="D52" s="3" t="s">
        <v>22</v>
      </c>
      <c r="E52" s="3" t="s">
        <v>70</v>
      </c>
      <c r="F52" s="3" t="s">
        <v>24</v>
      </c>
      <c r="G52" s="3" t="s">
        <v>13</v>
      </c>
    </row>
    <row r="53" customFormat="false" ht="23.25" hidden="false" customHeight="true" outlineLevel="0" collapsed="false">
      <c r="A53" s="3" t="s">
        <v>19</v>
      </c>
      <c r="B53" s="3" t="s">
        <v>41</v>
      </c>
      <c r="C53" s="3" t="s">
        <v>21</v>
      </c>
      <c r="D53" s="3" t="s">
        <v>22</v>
      </c>
      <c r="E53" s="3" t="s">
        <v>71</v>
      </c>
      <c r="F53" s="3" t="s">
        <v>24</v>
      </c>
      <c r="G53" s="3" t="s">
        <v>13</v>
      </c>
    </row>
    <row r="54" customFormat="false" ht="15" hidden="false" customHeight="true" outlineLevel="0" collapsed="false">
      <c r="A54" s="3" t="s">
        <v>19</v>
      </c>
      <c r="B54" s="3" t="s">
        <v>43</v>
      </c>
      <c r="C54" s="3" t="s">
        <v>21</v>
      </c>
      <c r="D54" s="3" t="s">
        <v>22</v>
      </c>
      <c r="E54" s="3" t="s">
        <v>70</v>
      </c>
      <c r="F54" s="3" t="s">
        <v>24</v>
      </c>
      <c r="G54" s="3" t="s">
        <v>13</v>
      </c>
    </row>
    <row r="55" customFormat="false" ht="15" hidden="false" customHeight="true" outlineLevel="0" collapsed="false">
      <c r="A55" s="3" t="s">
        <v>19</v>
      </c>
      <c r="B55" s="3" t="s">
        <v>44</v>
      </c>
      <c r="C55" s="3" t="s">
        <v>21</v>
      </c>
      <c r="D55" s="3" t="s">
        <v>22</v>
      </c>
      <c r="E55" s="3" t="s">
        <v>72</v>
      </c>
      <c r="F55" s="3" t="s">
        <v>24</v>
      </c>
      <c r="G55" s="3" t="s">
        <v>13</v>
      </c>
    </row>
    <row r="56" customFormat="false" ht="15" hidden="false" customHeight="true" outlineLevel="0" collapsed="false">
      <c r="A56" s="3" t="s">
        <v>19</v>
      </c>
      <c r="B56" s="3" t="s">
        <v>46</v>
      </c>
      <c r="C56" s="3" t="s">
        <v>21</v>
      </c>
      <c r="D56" s="3" t="s">
        <v>22</v>
      </c>
      <c r="E56" s="3" t="s">
        <v>73</v>
      </c>
      <c r="F56" s="3" t="s">
        <v>24</v>
      </c>
      <c r="G56" s="3" t="s">
        <v>13</v>
      </c>
    </row>
    <row r="57" customFormat="false" ht="23.25" hidden="false" customHeight="true" outlineLevel="0" collapsed="false">
      <c r="A57" s="3" t="s">
        <v>19</v>
      </c>
      <c r="B57" s="3" t="s">
        <v>48</v>
      </c>
      <c r="C57" s="3" t="s">
        <v>21</v>
      </c>
      <c r="D57" s="3" t="s">
        <v>22</v>
      </c>
      <c r="E57" s="3" t="s">
        <v>74</v>
      </c>
      <c r="F57" s="3" t="s">
        <v>24</v>
      </c>
      <c r="G57" s="3" t="s">
        <v>13</v>
      </c>
    </row>
    <row r="58" customFormat="false" ht="23.25" hidden="false" customHeight="true" outlineLevel="0" collapsed="false">
      <c r="A58" s="3" t="s">
        <v>19</v>
      </c>
      <c r="B58" s="3" t="s">
        <v>50</v>
      </c>
      <c r="C58" s="3" t="s">
        <v>21</v>
      </c>
      <c r="D58" s="3" t="s">
        <v>22</v>
      </c>
      <c r="E58" s="3" t="s">
        <v>75</v>
      </c>
      <c r="F58" s="3" t="s">
        <v>24</v>
      </c>
      <c r="G58" s="3" t="s">
        <v>13</v>
      </c>
    </row>
    <row r="59" customFormat="false" ht="15" hidden="false" customHeight="true" outlineLevel="0" collapsed="false">
      <c r="A59" s="3" t="s">
        <v>19</v>
      </c>
      <c r="B59" s="3" t="s">
        <v>20</v>
      </c>
      <c r="C59" s="3" t="s">
        <v>21</v>
      </c>
      <c r="D59" s="3" t="s">
        <v>22</v>
      </c>
      <c r="E59" s="3" t="s">
        <v>76</v>
      </c>
      <c r="F59" s="3" t="s">
        <v>24</v>
      </c>
      <c r="G59" s="3" t="s">
        <v>13</v>
      </c>
    </row>
    <row r="60" customFormat="false" ht="15" hidden="false" customHeight="true" outlineLevel="0" collapsed="false">
      <c r="A60" s="3" t="s">
        <v>19</v>
      </c>
      <c r="B60" s="3" t="s">
        <v>25</v>
      </c>
      <c r="C60" s="3" t="s">
        <v>21</v>
      </c>
      <c r="D60" s="3" t="s">
        <v>22</v>
      </c>
      <c r="E60" s="3" t="s">
        <v>77</v>
      </c>
      <c r="F60" s="3" t="s">
        <v>24</v>
      </c>
      <c r="G60" s="3" t="s">
        <v>13</v>
      </c>
    </row>
    <row r="61" customFormat="false" ht="15" hidden="false" customHeight="true" outlineLevel="0" collapsed="false">
      <c r="A61" s="3" t="s">
        <v>19</v>
      </c>
      <c r="B61" s="3" t="s">
        <v>27</v>
      </c>
      <c r="C61" s="3" t="s">
        <v>21</v>
      </c>
      <c r="D61" s="3" t="s">
        <v>22</v>
      </c>
      <c r="E61" s="3" t="s">
        <v>78</v>
      </c>
      <c r="F61" s="3" t="s">
        <v>24</v>
      </c>
      <c r="G61" s="3" t="s">
        <v>13</v>
      </c>
    </row>
    <row r="62" customFormat="false" ht="23.25" hidden="false" customHeight="true" outlineLevel="0" collapsed="false">
      <c r="A62" s="3" t="s">
        <v>19</v>
      </c>
      <c r="B62" s="3" t="s">
        <v>29</v>
      </c>
      <c r="C62" s="3" t="s">
        <v>21</v>
      </c>
      <c r="D62" s="3" t="s">
        <v>22</v>
      </c>
      <c r="E62" s="3" t="s">
        <v>79</v>
      </c>
      <c r="F62" s="3" t="s">
        <v>24</v>
      </c>
      <c r="G62" s="3" t="s">
        <v>13</v>
      </c>
    </row>
    <row r="63" customFormat="false" ht="15" hidden="false" customHeight="true" outlineLevel="0" collapsed="false">
      <c r="A63" s="3" t="s">
        <v>19</v>
      </c>
      <c r="B63" s="3" t="s">
        <v>31</v>
      </c>
      <c r="C63" s="3" t="s">
        <v>21</v>
      </c>
      <c r="D63" s="3" t="s">
        <v>22</v>
      </c>
      <c r="E63" s="3" t="s">
        <v>79</v>
      </c>
      <c r="F63" s="3" t="s">
        <v>24</v>
      </c>
      <c r="G63" s="3" t="s">
        <v>13</v>
      </c>
    </row>
    <row r="64" customFormat="false" ht="15" hidden="false" customHeight="true" outlineLevel="0" collapsed="false">
      <c r="A64" s="3" t="s">
        <v>19</v>
      </c>
      <c r="B64" s="3" t="s">
        <v>32</v>
      </c>
      <c r="C64" s="3" t="s">
        <v>21</v>
      </c>
      <c r="D64" s="3" t="s">
        <v>22</v>
      </c>
      <c r="E64" s="3" t="s">
        <v>80</v>
      </c>
      <c r="F64" s="3" t="s">
        <v>24</v>
      </c>
      <c r="G64" s="3" t="s">
        <v>13</v>
      </c>
    </row>
    <row r="65" customFormat="false" ht="15" hidden="false" customHeight="true" outlineLevel="0" collapsed="false">
      <c r="A65" s="3" t="s">
        <v>19</v>
      </c>
      <c r="B65" s="3" t="s">
        <v>34</v>
      </c>
      <c r="C65" s="3" t="s">
        <v>21</v>
      </c>
      <c r="D65" s="3" t="s">
        <v>22</v>
      </c>
      <c r="E65" s="3" t="s">
        <v>81</v>
      </c>
      <c r="F65" s="3" t="s">
        <v>24</v>
      </c>
      <c r="G65" s="3" t="s">
        <v>13</v>
      </c>
    </row>
    <row r="66" customFormat="false" ht="15" hidden="false" customHeight="true" outlineLevel="0" collapsed="false">
      <c r="A66" s="3" t="s">
        <v>19</v>
      </c>
      <c r="B66" s="3" t="s">
        <v>36</v>
      </c>
      <c r="C66" s="3" t="s">
        <v>21</v>
      </c>
      <c r="D66" s="3" t="s">
        <v>22</v>
      </c>
      <c r="E66" s="3" t="s">
        <v>81</v>
      </c>
      <c r="F66" s="3" t="s">
        <v>24</v>
      </c>
      <c r="G66" s="3" t="s">
        <v>13</v>
      </c>
    </row>
    <row r="67" customFormat="false" ht="15" hidden="false" customHeight="true" outlineLevel="0" collapsed="false">
      <c r="A67" s="3" t="s">
        <v>19</v>
      </c>
      <c r="B67" s="3" t="s">
        <v>37</v>
      </c>
      <c r="C67" s="3" t="s">
        <v>21</v>
      </c>
      <c r="D67" s="3" t="s">
        <v>22</v>
      </c>
      <c r="E67" s="3" t="s">
        <v>81</v>
      </c>
      <c r="F67" s="3" t="s">
        <v>24</v>
      </c>
      <c r="G67" s="3" t="s">
        <v>13</v>
      </c>
    </row>
    <row r="68" customFormat="false" ht="15" hidden="false" customHeight="true" outlineLevel="0" collapsed="false">
      <c r="A68" s="3" t="s">
        <v>19</v>
      </c>
      <c r="B68" s="3" t="s">
        <v>38</v>
      </c>
      <c r="C68" s="3" t="s">
        <v>21</v>
      </c>
      <c r="D68" s="3" t="s">
        <v>22</v>
      </c>
      <c r="E68" s="3" t="s">
        <v>79</v>
      </c>
      <c r="F68" s="3" t="s">
        <v>24</v>
      </c>
      <c r="G68" s="3" t="s">
        <v>13</v>
      </c>
    </row>
    <row r="69" customFormat="false" ht="23.25" hidden="false" customHeight="true" outlineLevel="0" collapsed="false">
      <c r="A69" s="3" t="s">
        <v>19</v>
      </c>
      <c r="B69" s="3" t="s">
        <v>82</v>
      </c>
      <c r="C69" s="3" t="s">
        <v>21</v>
      </c>
      <c r="D69" s="3" t="s">
        <v>22</v>
      </c>
      <c r="E69" s="3" t="s">
        <v>83</v>
      </c>
      <c r="F69" s="3" t="s">
        <v>24</v>
      </c>
      <c r="G69" s="3" t="s">
        <v>13</v>
      </c>
    </row>
    <row r="70" customFormat="false" ht="34.5" hidden="false" customHeight="true" outlineLevel="0" collapsed="false">
      <c r="A70" s="3" t="s">
        <v>19</v>
      </c>
      <c r="B70" s="3" t="s">
        <v>84</v>
      </c>
      <c r="C70" s="3" t="s">
        <v>21</v>
      </c>
      <c r="D70" s="3" t="s">
        <v>22</v>
      </c>
      <c r="E70" s="3" t="s">
        <v>85</v>
      </c>
      <c r="F70" s="3" t="s">
        <v>24</v>
      </c>
      <c r="G70" s="3" t="s">
        <v>13</v>
      </c>
    </row>
    <row r="71" customFormat="false" ht="15" hidden="false" customHeight="true" outlineLevel="0" collapsed="false">
      <c r="A71" s="3" t="s">
        <v>19</v>
      </c>
      <c r="B71" s="3" t="s">
        <v>86</v>
      </c>
      <c r="C71" s="3" t="s">
        <v>21</v>
      </c>
      <c r="D71" s="3" t="s">
        <v>22</v>
      </c>
      <c r="E71" s="3" t="s">
        <v>83</v>
      </c>
      <c r="F71" s="3" t="s">
        <v>24</v>
      </c>
      <c r="G71" s="3" t="s">
        <v>13</v>
      </c>
    </row>
    <row r="72" customFormat="false" ht="15" hidden="false" customHeight="true" outlineLevel="0" collapsed="false">
      <c r="A72" s="3" t="s">
        <v>19</v>
      </c>
      <c r="B72" s="3" t="s">
        <v>44</v>
      </c>
      <c r="C72" s="3" t="s">
        <v>21</v>
      </c>
      <c r="D72" s="3" t="s">
        <v>22</v>
      </c>
      <c r="E72" s="3" t="s">
        <v>87</v>
      </c>
      <c r="F72" s="3" t="s">
        <v>24</v>
      </c>
      <c r="G72" s="3" t="s">
        <v>13</v>
      </c>
    </row>
    <row r="73" customFormat="false" ht="15" hidden="false" customHeight="true" outlineLevel="0" collapsed="false">
      <c r="A73" s="3" t="s">
        <v>19</v>
      </c>
      <c r="B73" s="3" t="s">
        <v>46</v>
      </c>
      <c r="C73" s="3" t="s">
        <v>21</v>
      </c>
      <c r="D73" s="3" t="s">
        <v>22</v>
      </c>
      <c r="E73" s="3" t="s">
        <v>88</v>
      </c>
      <c r="F73" s="3" t="s">
        <v>24</v>
      </c>
      <c r="G73" s="3" t="s">
        <v>13</v>
      </c>
    </row>
    <row r="74" customFormat="false" ht="23.25" hidden="false" customHeight="true" outlineLevel="0" collapsed="false">
      <c r="A74" s="3" t="s">
        <v>19</v>
      </c>
      <c r="B74" s="3" t="s">
        <v>48</v>
      </c>
      <c r="C74" s="3" t="s">
        <v>21</v>
      </c>
      <c r="D74" s="3" t="s">
        <v>22</v>
      </c>
      <c r="E74" s="3" t="s">
        <v>89</v>
      </c>
      <c r="F74" s="3" t="s">
        <v>24</v>
      </c>
      <c r="G74" s="3" t="s">
        <v>13</v>
      </c>
    </row>
    <row r="75" customFormat="false" ht="23.25" hidden="false" customHeight="true" outlineLevel="0" collapsed="false">
      <c r="A75" s="3" t="s">
        <v>19</v>
      </c>
      <c r="B75" s="3" t="s">
        <v>50</v>
      </c>
      <c r="C75" s="3" t="s">
        <v>21</v>
      </c>
      <c r="D75" s="3" t="s">
        <v>22</v>
      </c>
      <c r="E75" s="3" t="s">
        <v>90</v>
      </c>
      <c r="F75" s="3" t="s">
        <v>24</v>
      </c>
      <c r="G75" s="3" t="s">
        <v>13</v>
      </c>
    </row>
    <row r="76" customFormat="false" ht="23.25" hidden="false" customHeight="true" outlineLevel="0" collapsed="false">
      <c r="A76" s="3" t="s">
        <v>19</v>
      </c>
      <c r="B76" s="3" t="s">
        <v>20</v>
      </c>
      <c r="C76" s="3" t="s">
        <v>21</v>
      </c>
      <c r="D76" s="3" t="s">
        <v>22</v>
      </c>
      <c r="E76" s="3" t="s">
        <v>91</v>
      </c>
      <c r="F76" s="3" t="s">
        <v>24</v>
      </c>
      <c r="G76" s="3" t="s">
        <v>13</v>
      </c>
    </row>
    <row r="77" customFormat="false" ht="15" hidden="false" customHeight="true" outlineLevel="0" collapsed="false">
      <c r="A77" s="3" t="s">
        <v>19</v>
      </c>
      <c r="B77" s="3" t="s">
        <v>25</v>
      </c>
      <c r="C77" s="3" t="s">
        <v>21</v>
      </c>
      <c r="D77" s="3" t="s">
        <v>22</v>
      </c>
      <c r="E77" s="3" t="s">
        <v>92</v>
      </c>
      <c r="F77" s="3" t="s">
        <v>24</v>
      </c>
      <c r="G77" s="3" t="s">
        <v>13</v>
      </c>
    </row>
    <row r="78" customFormat="false" ht="23.25" hidden="false" customHeight="true" outlineLevel="0" collapsed="false">
      <c r="A78" s="3" t="s">
        <v>19</v>
      </c>
      <c r="B78" s="3" t="s">
        <v>27</v>
      </c>
      <c r="C78" s="3" t="s">
        <v>21</v>
      </c>
      <c r="D78" s="3" t="s">
        <v>22</v>
      </c>
      <c r="E78" s="3" t="s">
        <v>93</v>
      </c>
      <c r="F78" s="3" t="s">
        <v>24</v>
      </c>
      <c r="G78" s="3" t="s">
        <v>13</v>
      </c>
    </row>
    <row r="79" customFormat="false" ht="23.25" hidden="false" customHeight="true" outlineLevel="0" collapsed="false">
      <c r="A79" s="3" t="s">
        <v>19</v>
      </c>
      <c r="B79" s="3" t="s">
        <v>29</v>
      </c>
      <c r="C79" s="3" t="s">
        <v>21</v>
      </c>
      <c r="D79" s="3" t="s">
        <v>22</v>
      </c>
      <c r="E79" s="3" t="s">
        <v>94</v>
      </c>
      <c r="F79" s="3" t="s">
        <v>24</v>
      </c>
      <c r="G79" s="3" t="s">
        <v>13</v>
      </c>
    </row>
    <row r="80" customFormat="false" ht="15" hidden="false" customHeight="true" outlineLevel="0" collapsed="false">
      <c r="A80" s="3" t="s">
        <v>19</v>
      </c>
      <c r="B80" s="3" t="s">
        <v>31</v>
      </c>
      <c r="C80" s="3" t="s">
        <v>21</v>
      </c>
      <c r="D80" s="3" t="s">
        <v>22</v>
      </c>
      <c r="E80" s="3" t="s">
        <v>94</v>
      </c>
      <c r="F80" s="3" t="s">
        <v>24</v>
      </c>
      <c r="G80" s="3" t="s">
        <v>13</v>
      </c>
    </row>
    <row r="81" customFormat="false" ht="15" hidden="false" customHeight="true" outlineLevel="0" collapsed="false">
      <c r="A81" s="3" t="s">
        <v>19</v>
      </c>
      <c r="B81" s="3" t="s">
        <v>32</v>
      </c>
      <c r="C81" s="3" t="s">
        <v>21</v>
      </c>
      <c r="D81" s="3" t="s">
        <v>22</v>
      </c>
      <c r="E81" s="3" t="s">
        <v>95</v>
      </c>
      <c r="F81" s="3" t="s">
        <v>24</v>
      </c>
      <c r="G81" s="3" t="s">
        <v>13</v>
      </c>
    </row>
    <row r="82" customFormat="false" ht="15" hidden="false" customHeight="true" outlineLevel="0" collapsed="false">
      <c r="A82" s="3" t="s">
        <v>19</v>
      </c>
      <c r="B82" s="3" t="s">
        <v>34</v>
      </c>
      <c r="C82" s="3" t="s">
        <v>21</v>
      </c>
      <c r="D82" s="3" t="s">
        <v>22</v>
      </c>
      <c r="E82" s="3" t="s">
        <v>96</v>
      </c>
      <c r="F82" s="3" t="s">
        <v>24</v>
      </c>
      <c r="G82" s="3" t="s">
        <v>13</v>
      </c>
    </row>
    <row r="83" customFormat="false" ht="15" hidden="false" customHeight="true" outlineLevel="0" collapsed="false">
      <c r="A83" s="3" t="s">
        <v>19</v>
      </c>
      <c r="B83" s="3" t="s">
        <v>36</v>
      </c>
      <c r="C83" s="3" t="s">
        <v>21</v>
      </c>
      <c r="D83" s="3" t="s">
        <v>22</v>
      </c>
      <c r="E83" s="3" t="s">
        <v>96</v>
      </c>
      <c r="F83" s="3" t="s">
        <v>24</v>
      </c>
      <c r="G83" s="3" t="s">
        <v>13</v>
      </c>
    </row>
    <row r="84" customFormat="false" ht="23.25" hidden="false" customHeight="true" outlineLevel="0" collapsed="false">
      <c r="A84" s="3" t="s">
        <v>19</v>
      </c>
      <c r="B84" s="3" t="s">
        <v>97</v>
      </c>
      <c r="C84" s="3" t="s">
        <v>21</v>
      </c>
      <c r="D84" s="3" t="s">
        <v>22</v>
      </c>
      <c r="E84" s="3" t="s">
        <v>96</v>
      </c>
      <c r="F84" s="3" t="s">
        <v>24</v>
      </c>
      <c r="G84" s="3" t="s">
        <v>13</v>
      </c>
    </row>
    <row r="85" customFormat="false" ht="15" hidden="false" customHeight="true" outlineLevel="0" collapsed="false">
      <c r="A85" s="3" t="s">
        <v>19</v>
      </c>
      <c r="B85" s="3" t="s">
        <v>38</v>
      </c>
      <c r="C85" s="3" t="s">
        <v>21</v>
      </c>
      <c r="D85" s="3" t="s">
        <v>22</v>
      </c>
      <c r="E85" s="3" t="s">
        <v>94</v>
      </c>
      <c r="F85" s="3" t="s">
        <v>24</v>
      </c>
      <c r="G85" s="3" t="s">
        <v>13</v>
      </c>
    </row>
    <row r="86" customFormat="false" ht="23.25" hidden="false" customHeight="true" outlineLevel="0" collapsed="false">
      <c r="A86" s="3" t="s">
        <v>19</v>
      </c>
      <c r="B86" s="3" t="s">
        <v>82</v>
      </c>
      <c r="C86" s="3" t="s">
        <v>21</v>
      </c>
      <c r="D86" s="3" t="s">
        <v>22</v>
      </c>
      <c r="E86" s="3" t="s">
        <v>98</v>
      </c>
      <c r="F86" s="3" t="s">
        <v>24</v>
      </c>
      <c r="G86" s="3" t="s">
        <v>13</v>
      </c>
    </row>
    <row r="87" customFormat="false" ht="23.25" hidden="false" customHeight="true" outlineLevel="0" collapsed="false">
      <c r="A87" s="3" t="s">
        <v>19</v>
      </c>
      <c r="B87" s="3" t="s">
        <v>41</v>
      </c>
      <c r="C87" s="3" t="s">
        <v>21</v>
      </c>
      <c r="D87" s="3" t="s">
        <v>22</v>
      </c>
      <c r="E87" s="3" t="s">
        <v>99</v>
      </c>
      <c r="F87" s="3" t="s">
        <v>24</v>
      </c>
      <c r="G87" s="3" t="s">
        <v>13</v>
      </c>
    </row>
    <row r="88" customFormat="false" ht="15" hidden="false" customHeight="true" outlineLevel="0" collapsed="false">
      <c r="A88" s="3" t="s">
        <v>19</v>
      </c>
      <c r="B88" s="3" t="s">
        <v>86</v>
      </c>
      <c r="C88" s="3" t="s">
        <v>21</v>
      </c>
      <c r="D88" s="3" t="s">
        <v>22</v>
      </c>
      <c r="E88" s="3" t="s">
        <v>98</v>
      </c>
      <c r="F88" s="3" t="s">
        <v>24</v>
      </c>
      <c r="G88" s="3" t="s">
        <v>13</v>
      </c>
    </row>
    <row r="89" customFormat="false" ht="15" hidden="false" customHeight="true" outlineLevel="0" collapsed="false">
      <c r="A89" s="3" t="s">
        <v>19</v>
      </c>
      <c r="B89" s="3" t="s">
        <v>44</v>
      </c>
      <c r="C89" s="3" t="s">
        <v>21</v>
      </c>
      <c r="D89" s="3" t="s">
        <v>22</v>
      </c>
      <c r="E89" s="3" t="s">
        <v>100</v>
      </c>
      <c r="F89" s="3" t="s">
        <v>24</v>
      </c>
      <c r="G89" s="3" t="s">
        <v>13</v>
      </c>
    </row>
    <row r="90" customFormat="false" ht="15" hidden="false" customHeight="true" outlineLevel="0" collapsed="false">
      <c r="A90" s="3" t="s">
        <v>19</v>
      </c>
      <c r="B90" s="3" t="s">
        <v>46</v>
      </c>
      <c r="C90" s="3" t="s">
        <v>21</v>
      </c>
      <c r="D90" s="3" t="s">
        <v>22</v>
      </c>
      <c r="E90" s="3" t="s">
        <v>101</v>
      </c>
      <c r="F90" s="3" t="s">
        <v>24</v>
      </c>
      <c r="G90" s="3" t="s">
        <v>13</v>
      </c>
    </row>
    <row r="91" customFormat="false" ht="23.25" hidden="false" customHeight="true" outlineLevel="0" collapsed="false">
      <c r="A91" s="3" t="s">
        <v>19</v>
      </c>
      <c r="B91" s="3" t="s">
        <v>48</v>
      </c>
      <c r="C91" s="3" t="s">
        <v>21</v>
      </c>
      <c r="D91" s="3" t="s">
        <v>22</v>
      </c>
      <c r="E91" s="3" t="s">
        <v>102</v>
      </c>
      <c r="F91" s="3" t="s">
        <v>24</v>
      </c>
      <c r="G91" s="3" t="s">
        <v>13</v>
      </c>
    </row>
    <row r="92" customFormat="false" ht="23.25" hidden="false" customHeight="true" outlineLevel="0" collapsed="false">
      <c r="A92" s="3" t="s">
        <v>19</v>
      </c>
      <c r="B92" s="3" t="s">
        <v>50</v>
      </c>
      <c r="C92" s="3" t="s">
        <v>21</v>
      </c>
      <c r="D92" s="3" t="s">
        <v>22</v>
      </c>
      <c r="E92" s="3" t="s">
        <v>103</v>
      </c>
      <c r="F92" s="3" t="s">
        <v>24</v>
      </c>
      <c r="G92" s="3" t="s">
        <v>13</v>
      </c>
    </row>
    <row r="93" customFormat="false" ht="23.25" hidden="false" customHeight="true" outlineLevel="0" collapsed="false">
      <c r="A93" s="3" t="s">
        <v>19</v>
      </c>
      <c r="B93" s="3" t="s">
        <v>20</v>
      </c>
      <c r="C93" s="3" t="s">
        <v>21</v>
      </c>
      <c r="D93" s="3" t="s">
        <v>22</v>
      </c>
      <c r="E93" s="3" t="s">
        <v>104</v>
      </c>
      <c r="F93" s="3" t="s">
        <v>24</v>
      </c>
      <c r="G93" s="3" t="s">
        <v>13</v>
      </c>
    </row>
    <row r="94" customFormat="false" ht="15" hidden="false" customHeight="true" outlineLevel="0" collapsed="false">
      <c r="A94" s="3" t="s">
        <v>19</v>
      </c>
      <c r="B94" s="3" t="s">
        <v>25</v>
      </c>
      <c r="C94" s="3" t="s">
        <v>21</v>
      </c>
      <c r="D94" s="3" t="s">
        <v>22</v>
      </c>
      <c r="E94" s="3" t="s">
        <v>105</v>
      </c>
      <c r="F94" s="3" t="s">
        <v>24</v>
      </c>
      <c r="G94" s="3" t="s">
        <v>13</v>
      </c>
    </row>
    <row r="95" customFormat="false" ht="23.25" hidden="false" customHeight="true" outlineLevel="0" collapsed="false">
      <c r="A95" s="3" t="s">
        <v>19</v>
      </c>
      <c r="B95" s="3" t="s">
        <v>27</v>
      </c>
      <c r="C95" s="3" t="s">
        <v>21</v>
      </c>
      <c r="D95" s="3" t="s">
        <v>22</v>
      </c>
      <c r="E95" s="3" t="s">
        <v>106</v>
      </c>
      <c r="F95" s="3" t="s">
        <v>24</v>
      </c>
      <c r="G95" s="3" t="s">
        <v>13</v>
      </c>
    </row>
    <row r="96" customFormat="false" ht="23.25" hidden="false" customHeight="true" outlineLevel="0" collapsed="false">
      <c r="A96" s="3" t="s">
        <v>19</v>
      </c>
      <c r="B96" s="3" t="s">
        <v>29</v>
      </c>
      <c r="C96" s="3" t="s">
        <v>21</v>
      </c>
      <c r="D96" s="3" t="s">
        <v>22</v>
      </c>
      <c r="E96" s="3" t="s">
        <v>107</v>
      </c>
      <c r="F96" s="3" t="s">
        <v>24</v>
      </c>
      <c r="G96" s="3" t="s">
        <v>13</v>
      </c>
    </row>
    <row r="97" customFormat="false" ht="15" hidden="false" customHeight="true" outlineLevel="0" collapsed="false">
      <c r="A97" s="3" t="s">
        <v>19</v>
      </c>
      <c r="B97" s="3" t="s">
        <v>31</v>
      </c>
      <c r="C97" s="3" t="s">
        <v>21</v>
      </c>
      <c r="D97" s="3" t="s">
        <v>22</v>
      </c>
      <c r="E97" s="3" t="s">
        <v>107</v>
      </c>
      <c r="F97" s="3" t="s">
        <v>24</v>
      </c>
      <c r="G97" s="3" t="s">
        <v>13</v>
      </c>
    </row>
    <row r="98" customFormat="false" ht="15" hidden="false" customHeight="true" outlineLevel="0" collapsed="false">
      <c r="A98" s="3" t="s">
        <v>19</v>
      </c>
      <c r="B98" s="3" t="s">
        <v>32</v>
      </c>
      <c r="C98" s="3" t="s">
        <v>21</v>
      </c>
      <c r="D98" s="3" t="s">
        <v>22</v>
      </c>
      <c r="E98" s="3" t="s">
        <v>108</v>
      </c>
      <c r="F98" s="3" t="s">
        <v>24</v>
      </c>
      <c r="G98" s="3" t="s">
        <v>13</v>
      </c>
    </row>
    <row r="99" customFormat="false" ht="15" hidden="false" customHeight="true" outlineLevel="0" collapsed="false">
      <c r="A99" s="3" t="s">
        <v>19</v>
      </c>
      <c r="B99" s="3" t="s">
        <v>34</v>
      </c>
      <c r="C99" s="3" t="s">
        <v>21</v>
      </c>
      <c r="D99" s="3" t="s">
        <v>22</v>
      </c>
      <c r="E99" s="3" t="s">
        <v>109</v>
      </c>
      <c r="F99" s="3" t="s">
        <v>24</v>
      </c>
      <c r="G99" s="3" t="s">
        <v>13</v>
      </c>
    </row>
    <row r="100" customFormat="false" ht="15" hidden="false" customHeight="true" outlineLevel="0" collapsed="false">
      <c r="A100" s="3" t="s">
        <v>19</v>
      </c>
      <c r="B100" s="3" t="s">
        <v>36</v>
      </c>
      <c r="C100" s="3" t="s">
        <v>21</v>
      </c>
      <c r="D100" s="3" t="s">
        <v>22</v>
      </c>
      <c r="E100" s="3" t="s">
        <v>109</v>
      </c>
      <c r="F100" s="3" t="s">
        <v>24</v>
      </c>
      <c r="G100" s="3" t="s">
        <v>13</v>
      </c>
    </row>
    <row r="101" customFormat="false" ht="23.25" hidden="false" customHeight="true" outlineLevel="0" collapsed="false">
      <c r="A101" s="3" t="s">
        <v>19</v>
      </c>
      <c r="B101" s="3" t="s">
        <v>97</v>
      </c>
      <c r="C101" s="3" t="s">
        <v>21</v>
      </c>
      <c r="D101" s="3" t="s">
        <v>22</v>
      </c>
      <c r="E101" s="3" t="s">
        <v>109</v>
      </c>
      <c r="F101" s="3" t="s">
        <v>24</v>
      </c>
      <c r="G101" s="3" t="s">
        <v>13</v>
      </c>
    </row>
    <row r="102" customFormat="false" ht="15" hidden="false" customHeight="true" outlineLevel="0" collapsed="false">
      <c r="A102" s="3" t="s">
        <v>19</v>
      </c>
      <c r="B102" s="3" t="s">
        <v>38</v>
      </c>
      <c r="C102" s="3" t="s">
        <v>21</v>
      </c>
      <c r="D102" s="3" t="s">
        <v>22</v>
      </c>
      <c r="E102" s="3" t="s">
        <v>107</v>
      </c>
      <c r="F102" s="3" t="s">
        <v>24</v>
      </c>
      <c r="G102" s="3" t="s">
        <v>13</v>
      </c>
    </row>
    <row r="103" customFormat="false" ht="23.25" hidden="false" customHeight="true" outlineLevel="0" collapsed="false">
      <c r="A103" s="3" t="s">
        <v>19</v>
      </c>
      <c r="B103" s="3" t="s">
        <v>82</v>
      </c>
      <c r="C103" s="3" t="s">
        <v>21</v>
      </c>
      <c r="D103" s="3" t="s">
        <v>22</v>
      </c>
      <c r="E103" s="3" t="s">
        <v>110</v>
      </c>
      <c r="F103" s="3" t="s">
        <v>24</v>
      </c>
      <c r="G103" s="3" t="s">
        <v>13</v>
      </c>
    </row>
    <row r="104" customFormat="false" ht="23.25" hidden="false" customHeight="true" outlineLevel="0" collapsed="false">
      <c r="A104" s="3" t="s">
        <v>19</v>
      </c>
      <c r="B104" s="3" t="s">
        <v>111</v>
      </c>
      <c r="C104" s="3" t="s">
        <v>21</v>
      </c>
      <c r="D104" s="3" t="s">
        <v>22</v>
      </c>
      <c r="E104" s="3" t="s">
        <v>112</v>
      </c>
      <c r="F104" s="3" t="s">
        <v>24</v>
      </c>
      <c r="G104" s="3" t="s">
        <v>13</v>
      </c>
    </row>
    <row r="105" customFormat="false" ht="15" hidden="false" customHeight="true" outlineLevel="0" collapsed="false">
      <c r="A105" s="3" t="s">
        <v>19</v>
      </c>
      <c r="B105" s="3" t="s">
        <v>86</v>
      </c>
      <c r="C105" s="3" t="s">
        <v>21</v>
      </c>
      <c r="D105" s="3" t="s">
        <v>22</v>
      </c>
      <c r="E105" s="3" t="s">
        <v>110</v>
      </c>
      <c r="F105" s="3" t="s">
        <v>24</v>
      </c>
      <c r="G105" s="3" t="s">
        <v>13</v>
      </c>
    </row>
    <row r="106" customFormat="false" ht="15" hidden="false" customHeight="true" outlineLevel="0" collapsed="false">
      <c r="A106" s="3" t="s">
        <v>19</v>
      </c>
      <c r="B106" s="3" t="s">
        <v>44</v>
      </c>
      <c r="C106" s="3" t="s">
        <v>21</v>
      </c>
      <c r="D106" s="3" t="s">
        <v>22</v>
      </c>
      <c r="E106" s="3" t="s">
        <v>113</v>
      </c>
      <c r="F106" s="3" t="s">
        <v>24</v>
      </c>
      <c r="G106" s="3" t="s">
        <v>13</v>
      </c>
    </row>
    <row r="107" customFormat="false" ht="15" hidden="false" customHeight="true" outlineLevel="0" collapsed="false">
      <c r="A107" s="3" t="s">
        <v>19</v>
      </c>
      <c r="B107" s="3" t="s">
        <v>46</v>
      </c>
      <c r="C107" s="3" t="s">
        <v>21</v>
      </c>
      <c r="D107" s="3" t="s">
        <v>22</v>
      </c>
      <c r="E107" s="3" t="s">
        <v>114</v>
      </c>
      <c r="F107" s="3" t="s">
        <v>24</v>
      </c>
      <c r="G107" s="3" t="s">
        <v>13</v>
      </c>
    </row>
    <row r="108" customFormat="false" ht="23.25" hidden="false" customHeight="true" outlineLevel="0" collapsed="false">
      <c r="A108" s="3" t="s">
        <v>19</v>
      </c>
      <c r="B108" s="3" t="s">
        <v>48</v>
      </c>
      <c r="C108" s="3" t="s">
        <v>21</v>
      </c>
      <c r="D108" s="3" t="s">
        <v>22</v>
      </c>
      <c r="E108" s="3" t="s">
        <v>115</v>
      </c>
      <c r="F108" s="3" t="s">
        <v>24</v>
      </c>
      <c r="G108" s="3" t="s">
        <v>13</v>
      </c>
    </row>
    <row r="109" customFormat="false" ht="23.25" hidden="false" customHeight="true" outlineLevel="0" collapsed="false">
      <c r="A109" s="3" t="s">
        <v>19</v>
      </c>
      <c r="B109" s="3" t="s">
        <v>50</v>
      </c>
      <c r="C109" s="3" t="s">
        <v>21</v>
      </c>
      <c r="D109" s="3" t="s">
        <v>22</v>
      </c>
      <c r="E109" s="3" t="s">
        <v>116</v>
      </c>
      <c r="F109" s="3" t="s">
        <v>24</v>
      </c>
      <c r="G109" s="3" t="s">
        <v>13</v>
      </c>
    </row>
    <row r="110" customFormat="false" ht="23.25" hidden="false" customHeight="true" outlineLevel="0" collapsed="false">
      <c r="A110" s="3" t="s">
        <v>19</v>
      </c>
      <c r="B110" s="3" t="s">
        <v>20</v>
      </c>
      <c r="C110" s="3" t="s">
        <v>21</v>
      </c>
      <c r="D110" s="3" t="s">
        <v>22</v>
      </c>
      <c r="E110" s="3" t="s">
        <v>117</v>
      </c>
      <c r="F110" s="3" t="s">
        <v>24</v>
      </c>
      <c r="G110" s="3" t="s">
        <v>13</v>
      </c>
    </row>
    <row r="111" customFormat="false" ht="23.25" hidden="false" customHeight="true" outlineLevel="0" collapsed="false">
      <c r="A111" s="3" t="s">
        <v>19</v>
      </c>
      <c r="B111" s="3" t="s">
        <v>25</v>
      </c>
      <c r="C111" s="3" t="s">
        <v>21</v>
      </c>
      <c r="D111" s="3" t="s">
        <v>22</v>
      </c>
      <c r="E111" s="3" t="s">
        <v>118</v>
      </c>
      <c r="F111" s="3" t="s">
        <v>24</v>
      </c>
      <c r="G111" s="3" t="s">
        <v>13</v>
      </c>
    </row>
    <row r="112" customFormat="false" ht="23.25" hidden="false" customHeight="true" outlineLevel="0" collapsed="false">
      <c r="A112" s="3" t="s">
        <v>19</v>
      </c>
      <c r="B112" s="3" t="s">
        <v>27</v>
      </c>
      <c r="C112" s="3" t="s">
        <v>21</v>
      </c>
      <c r="D112" s="3" t="s">
        <v>22</v>
      </c>
      <c r="E112" s="3" t="s">
        <v>119</v>
      </c>
      <c r="F112" s="3" t="s">
        <v>24</v>
      </c>
      <c r="G112" s="3" t="s">
        <v>13</v>
      </c>
    </row>
    <row r="113" customFormat="false" ht="23.25" hidden="false" customHeight="true" outlineLevel="0" collapsed="false">
      <c r="A113" s="3" t="s">
        <v>19</v>
      </c>
      <c r="B113" s="3" t="s">
        <v>29</v>
      </c>
      <c r="C113" s="3" t="s">
        <v>21</v>
      </c>
      <c r="D113" s="3" t="s">
        <v>22</v>
      </c>
      <c r="E113" s="3" t="s">
        <v>120</v>
      </c>
      <c r="F113" s="3" t="s">
        <v>24</v>
      </c>
      <c r="G113" s="3" t="s">
        <v>13</v>
      </c>
    </row>
    <row r="114" customFormat="false" ht="15" hidden="false" customHeight="true" outlineLevel="0" collapsed="false">
      <c r="A114" s="3" t="s">
        <v>19</v>
      </c>
      <c r="B114" s="3" t="s">
        <v>31</v>
      </c>
      <c r="C114" s="3" t="s">
        <v>21</v>
      </c>
      <c r="D114" s="3" t="s">
        <v>22</v>
      </c>
      <c r="E114" s="3" t="s">
        <v>120</v>
      </c>
      <c r="F114" s="3" t="s">
        <v>24</v>
      </c>
      <c r="G114" s="3" t="s">
        <v>13</v>
      </c>
    </row>
    <row r="115" customFormat="false" ht="15" hidden="false" customHeight="true" outlineLevel="0" collapsed="false">
      <c r="A115" s="3" t="s">
        <v>19</v>
      </c>
      <c r="B115" s="3" t="s">
        <v>32</v>
      </c>
      <c r="C115" s="3" t="s">
        <v>21</v>
      </c>
      <c r="D115" s="3" t="s">
        <v>22</v>
      </c>
      <c r="E115" s="3" t="s">
        <v>121</v>
      </c>
      <c r="F115" s="3" t="s">
        <v>24</v>
      </c>
      <c r="G115" s="3" t="s">
        <v>13</v>
      </c>
    </row>
    <row r="116" customFormat="false" ht="15" hidden="false" customHeight="true" outlineLevel="0" collapsed="false">
      <c r="A116" s="3" t="s">
        <v>19</v>
      </c>
      <c r="B116" s="3" t="s">
        <v>34</v>
      </c>
      <c r="C116" s="3" t="s">
        <v>21</v>
      </c>
      <c r="D116" s="3" t="s">
        <v>22</v>
      </c>
      <c r="E116" s="3" t="s">
        <v>122</v>
      </c>
      <c r="F116" s="3" t="s">
        <v>24</v>
      </c>
      <c r="G116" s="3" t="s">
        <v>13</v>
      </c>
    </row>
    <row r="117" customFormat="false" ht="15" hidden="false" customHeight="true" outlineLevel="0" collapsed="false">
      <c r="A117" s="3" t="s">
        <v>19</v>
      </c>
      <c r="B117" s="3" t="s">
        <v>36</v>
      </c>
      <c r="C117" s="3" t="s">
        <v>21</v>
      </c>
      <c r="D117" s="3" t="s">
        <v>22</v>
      </c>
      <c r="E117" s="3" t="s">
        <v>122</v>
      </c>
      <c r="F117" s="3" t="s">
        <v>24</v>
      </c>
      <c r="G117" s="3" t="s">
        <v>13</v>
      </c>
    </row>
    <row r="118" customFormat="false" ht="23.25" hidden="false" customHeight="true" outlineLevel="0" collapsed="false">
      <c r="A118" s="3" t="s">
        <v>19</v>
      </c>
      <c r="B118" s="3" t="s">
        <v>97</v>
      </c>
      <c r="C118" s="3" t="s">
        <v>21</v>
      </c>
      <c r="D118" s="3" t="s">
        <v>22</v>
      </c>
      <c r="E118" s="3" t="s">
        <v>122</v>
      </c>
      <c r="F118" s="3" t="s">
        <v>24</v>
      </c>
      <c r="G118" s="3" t="s">
        <v>13</v>
      </c>
    </row>
    <row r="119" customFormat="false" ht="15" hidden="false" customHeight="true" outlineLevel="0" collapsed="false">
      <c r="A119" s="3" t="s">
        <v>19</v>
      </c>
      <c r="B119" s="3" t="s">
        <v>38</v>
      </c>
      <c r="C119" s="3" t="s">
        <v>21</v>
      </c>
      <c r="D119" s="3" t="s">
        <v>22</v>
      </c>
      <c r="E119" s="3" t="s">
        <v>120</v>
      </c>
      <c r="F119" s="3" t="s">
        <v>24</v>
      </c>
      <c r="G119" s="3" t="s">
        <v>13</v>
      </c>
    </row>
    <row r="120" customFormat="false" ht="23.25" hidden="false" customHeight="true" outlineLevel="0" collapsed="false">
      <c r="A120" s="3" t="s">
        <v>19</v>
      </c>
      <c r="B120" s="3" t="s">
        <v>82</v>
      </c>
      <c r="C120" s="3" t="s">
        <v>21</v>
      </c>
      <c r="D120" s="3" t="s">
        <v>22</v>
      </c>
      <c r="E120" s="3" t="s">
        <v>123</v>
      </c>
      <c r="F120" s="3" t="s">
        <v>24</v>
      </c>
      <c r="G120" s="3" t="s">
        <v>13</v>
      </c>
    </row>
    <row r="121" customFormat="false" ht="23.25" hidden="false" customHeight="true" outlineLevel="0" collapsed="false">
      <c r="A121" s="3" t="s">
        <v>19</v>
      </c>
      <c r="B121" s="3" t="s">
        <v>41</v>
      </c>
      <c r="C121" s="3" t="s">
        <v>21</v>
      </c>
      <c r="D121" s="3" t="s">
        <v>22</v>
      </c>
      <c r="E121" s="3" t="s">
        <v>124</v>
      </c>
      <c r="F121" s="3" t="s">
        <v>24</v>
      </c>
      <c r="G121" s="3" t="s">
        <v>13</v>
      </c>
    </row>
    <row r="122" customFormat="false" ht="15" hidden="false" customHeight="true" outlineLevel="0" collapsed="false">
      <c r="A122" s="3" t="s">
        <v>19</v>
      </c>
      <c r="B122" s="3" t="s">
        <v>86</v>
      </c>
      <c r="C122" s="3" t="s">
        <v>21</v>
      </c>
      <c r="D122" s="3" t="s">
        <v>22</v>
      </c>
      <c r="E122" s="3" t="s">
        <v>123</v>
      </c>
      <c r="F122" s="3" t="s">
        <v>24</v>
      </c>
      <c r="G122" s="3" t="s">
        <v>13</v>
      </c>
    </row>
    <row r="123" customFormat="false" ht="15" hidden="false" customHeight="true" outlineLevel="0" collapsed="false">
      <c r="A123" s="3" t="s">
        <v>19</v>
      </c>
      <c r="B123" s="3" t="s">
        <v>44</v>
      </c>
      <c r="C123" s="3" t="s">
        <v>21</v>
      </c>
      <c r="D123" s="3" t="s">
        <v>22</v>
      </c>
      <c r="E123" s="3" t="s">
        <v>125</v>
      </c>
      <c r="F123" s="3" t="s">
        <v>24</v>
      </c>
      <c r="G123" s="3" t="s">
        <v>13</v>
      </c>
    </row>
    <row r="124" customFormat="false" ht="15" hidden="false" customHeight="true" outlineLevel="0" collapsed="false">
      <c r="A124" s="3" t="s">
        <v>19</v>
      </c>
      <c r="B124" s="3" t="s">
        <v>46</v>
      </c>
      <c r="C124" s="3" t="s">
        <v>21</v>
      </c>
      <c r="D124" s="3" t="s">
        <v>22</v>
      </c>
      <c r="E124" s="3" t="s">
        <v>126</v>
      </c>
      <c r="F124" s="3" t="s">
        <v>24</v>
      </c>
      <c r="G124" s="3" t="s">
        <v>13</v>
      </c>
    </row>
    <row r="125" customFormat="false" ht="23.25" hidden="false" customHeight="true" outlineLevel="0" collapsed="false">
      <c r="A125" s="3" t="s">
        <v>19</v>
      </c>
      <c r="B125" s="3" t="s">
        <v>48</v>
      </c>
      <c r="C125" s="3" t="s">
        <v>21</v>
      </c>
      <c r="D125" s="3" t="s">
        <v>22</v>
      </c>
      <c r="E125" s="3" t="s">
        <v>127</v>
      </c>
      <c r="F125" s="3" t="s">
        <v>24</v>
      </c>
      <c r="G125" s="3" t="s">
        <v>13</v>
      </c>
    </row>
    <row r="126" customFormat="false" ht="23.25" hidden="false" customHeight="true" outlineLevel="0" collapsed="false">
      <c r="A126" s="3" t="s">
        <v>19</v>
      </c>
      <c r="B126" s="3" t="s">
        <v>128</v>
      </c>
      <c r="C126" s="3" t="s">
        <v>21</v>
      </c>
      <c r="D126" s="3" t="s">
        <v>22</v>
      </c>
      <c r="E126" s="3" t="s">
        <v>129</v>
      </c>
      <c r="F126" s="3" t="s">
        <v>24</v>
      </c>
      <c r="G126" s="3" t="s">
        <v>13</v>
      </c>
    </row>
    <row r="127" customFormat="false" ht="23.25" hidden="false" customHeight="true" outlineLevel="0" collapsed="false">
      <c r="A127" s="3" t="s">
        <v>19</v>
      </c>
      <c r="B127" s="3" t="s">
        <v>20</v>
      </c>
      <c r="C127" s="3" t="s">
        <v>21</v>
      </c>
      <c r="D127" s="3" t="s">
        <v>22</v>
      </c>
      <c r="E127" s="3" t="s">
        <v>130</v>
      </c>
      <c r="F127" s="3" t="s">
        <v>24</v>
      </c>
      <c r="G127" s="3" t="s">
        <v>13</v>
      </c>
    </row>
    <row r="128" customFormat="false" ht="23.25" hidden="false" customHeight="true" outlineLevel="0" collapsed="false">
      <c r="A128" s="3" t="s">
        <v>19</v>
      </c>
      <c r="B128" s="3" t="s">
        <v>25</v>
      </c>
      <c r="C128" s="3" t="s">
        <v>21</v>
      </c>
      <c r="D128" s="3" t="s">
        <v>22</v>
      </c>
      <c r="E128" s="3" t="s">
        <v>131</v>
      </c>
      <c r="F128" s="3" t="s">
        <v>24</v>
      </c>
      <c r="G128" s="3" t="s">
        <v>13</v>
      </c>
    </row>
    <row r="129" customFormat="false" ht="23.25" hidden="false" customHeight="true" outlineLevel="0" collapsed="false">
      <c r="A129" s="3" t="s">
        <v>19</v>
      </c>
      <c r="B129" s="3" t="s">
        <v>27</v>
      </c>
      <c r="C129" s="3" t="s">
        <v>21</v>
      </c>
      <c r="D129" s="3" t="s">
        <v>22</v>
      </c>
      <c r="E129" s="3" t="s">
        <v>132</v>
      </c>
      <c r="F129" s="3" t="s">
        <v>24</v>
      </c>
      <c r="G129" s="3" t="s">
        <v>13</v>
      </c>
    </row>
    <row r="130" customFormat="false" ht="23.25" hidden="false" customHeight="true" outlineLevel="0" collapsed="false">
      <c r="A130" s="3" t="s">
        <v>19</v>
      </c>
      <c r="B130" s="3" t="s">
        <v>29</v>
      </c>
      <c r="C130" s="3" t="s">
        <v>21</v>
      </c>
      <c r="D130" s="3" t="s">
        <v>22</v>
      </c>
      <c r="E130" s="3" t="s">
        <v>133</v>
      </c>
      <c r="F130" s="3" t="s">
        <v>24</v>
      </c>
      <c r="G130" s="3" t="s">
        <v>13</v>
      </c>
    </row>
    <row r="131" customFormat="false" ht="15" hidden="false" customHeight="true" outlineLevel="0" collapsed="false">
      <c r="A131" s="3" t="s">
        <v>19</v>
      </c>
      <c r="B131" s="3" t="s">
        <v>31</v>
      </c>
      <c r="C131" s="3" t="s">
        <v>21</v>
      </c>
      <c r="D131" s="3" t="s">
        <v>22</v>
      </c>
      <c r="E131" s="3" t="s">
        <v>133</v>
      </c>
      <c r="F131" s="3" t="s">
        <v>24</v>
      </c>
      <c r="G131" s="3" t="s">
        <v>13</v>
      </c>
    </row>
    <row r="132" customFormat="false" ht="15" hidden="false" customHeight="true" outlineLevel="0" collapsed="false">
      <c r="A132" s="3" t="s">
        <v>19</v>
      </c>
      <c r="B132" s="3" t="s">
        <v>32</v>
      </c>
      <c r="C132" s="3" t="s">
        <v>21</v>
      </c>
      <c r="D132" s="3" t="s">
        <v>22</v>
      </c>
      <c r="E132" s="3" t="s">
        <v>134</v>
      </c>
      <c r="F132" s="3" t="s">
        <v>24</v>
      </c>
      <c r="G132" s="3" t="s">
        <v>13</v>
      </c>
    </row>
    <row r="133" customFormat="false" ht="15" hidden="false" customHeight="true" outlineLevel="0" collapsed="false">
      <c r="A133" s="3" t="s">
        <v>19</v>
      </c>
      <c r="B133" s="3" t="s">
        <v>34</v>
      </c>
      <c r="C133" s="3" t="s">
        <v>21</v>
      </c>
      <c r="D133" s="3" t="s">
        <v>22</v>
      </c>
      <c r="E133" s="3" t="s">
        <v>135</v>
      </c>
      <c r="F133" s="3" t="s">
        <v>24</v>
      </c>
      <c r="G133" s="3" t="s">
        <v>13</v>
      </c>
    </row>
    <row r="134" customFormat="false" ht="15" hidden="false" customHeight="true" outlineLevel="0" collapsed="false">
      <c r="A134" s="3" t="s">
        <v>19</v>
      </c>
      <c r="B134" s="3" t="s">
        <v>36</v>
      </c>
      <c r="C134" s="3" t="s">
        <v>21</v>
      </c>
      <c r="D134" s="3" t="s">
        <v>22</v>
      </c>
      <c r="E134" s="3" t="s">
        <v>135</v>
      </c>
      <c r="F134" s="3" t="s">
        <v>24</v>
      </c>
      <c r="G134" s="3" t="s">
        <v>13</v>
      </c>
    </row>
    <row r="135" customFormat="false" ht="15" hidden="false" customHeight="true" outlineLevel="0" collapsed="false">
      <c r="A135" s="3" t="s">
        <v>19</v>
      </c>
      <c r="B135" s="3" t="s">
        <v>37</v>
      </c>
      <c r="C135" s="3" t="s">
        <v>21</v>
      </c>
      <c r="D135" s="3" t="s">
        <v>22</v>
      </c>
      <c r="E135" s="3" t="s">
        <v>135</v>
      </c>
      <c r="F135" s="3" t="s">
        <v>24</v>
      </c>
      <c r="G135" s="3" t="s">
        <v>13</v>
      </c>
    </row>
    <row r="136" customFormat="false" ht="15" hidden="false" customHeight="true" outlineLevel="0" collapsed="false">
      <c r="A136" s="3" t="s">
        <v>19</v>
      </c>
      <c r="B136" s="3" t="s">
        <v>38</v>
      </c>
      <c r="C136" s="3" t="s">
        <v>21</v>
      </c>
      <c r="D136" s="3" t="s">
        <v>22</v>
      </c>
      <c r="E136" s="3" t="s">
        <v>133</v>
      </c>
      <c r="F136" s="3" t="s">
        <v>24</v>
      </c>
      <c r="G136" s="3" t="s">
        <v>13</v>
      </c>
    </row>
    <row r="137" customFormat="false" ht="23.25" hidden="false" customHeight="true" outlineLevel="0" collapsed="false">
      <c r="A137" s="3" t="s">
        <v>19</v>
      </c>
      <c r="B137" s="3" t="s">
        <v>82</v>
      </c>
      <c r="C137" s="3" t="s">
        <v>21</v>
      </c>
      <c r="D137" s="3" t="s">
        <v>22</v>
      </c>
      <c r="E137" s="3" t="s">
        <v>136</v>
      </c>
      <c r="F137" s="3" t="s">
        <v>24</v>
      </c>
      <c r="G137" s="3" t="s">
        <v>13</v>
      </c>
    </row>
    <row r="138" customFormat="false" ht="23.25" hidden="false" customHeight="true" outlineLevel="0" collapsed="false">
      <c r="A138" s="3" t="s">
        <v>19</v>
      </c>
      <c r="B138" s="3" t="s">
        <v>41</v>
      </c>
      <c r="C138" s="3" t="s">
        <v>21</v>
      </c>
      <c r="D138" s="3" t="s">
        <v>22</v>
      </c>
      <c r="E138" s="3" t="s">
        <v>137</v>
      </c>
      <c r="F138" s="3" t="s">
        <v>24</v>
      </c>
      <c r="G138" s="3" t="s">
        <v>13</v>
      </c>
    </row>
    <row r="139" customFormat="false" ht="15" hidden="false" customHeight="true" outlineLevel="0" collapsed="false">
      <c r="A139" s="3" t="s">
        <v>19</v>
      </c>
      <c r="B139" s="3" t="s">
        <v>86</v>
      </c>
      <c r="C139" s="3" t="s">
        <v>21</v>
      </c>
      <c r="D139" s="3" t="s">
        <v>22</v>
      </c>
      <c r="E139" s="3" t="s">
        <v>136</v>
      </c>
      <c r="F139" s="3" t="s">
        <v>24</v>
      </c>
      <c r="G139" s="3" t="s">
        <v>13</v>
      </c>
    </row>
    <row r="140" customFormat="false" ht="15" hidden="false" customHeight="true" outlineLevel="0" collapsed="false">
      <c r="A140" s="3" t="s">
        <v>19</v>
      </c>
      <c r="B140" s="3" t="s">
        <v>44</v>
      </c>
      <c r="C140" s="3" t="s">
        <v>21</v>
      </c>
      <c r="D140" s="3" t="s">
        <v>22</v>
      </c>
      <c r="E140" s="3" t="s">
        <v>138</v>
      </c>
      <c r="F140" s="3" t="s">
        <v>24</v>
      </c>
      <c r="G140" s="3" t="s">
        <v>13</v>
      </c>
    </row>
    <row r="141" customFormat="false" ht="15" hidden="false" customHeight="true" outlineLevel="0" collapsed="false">
      <c r="A141" s="3" t="s">
        <v>19</v>
      </c>
      <c r="B141" s="3" t="s">
        <v>46</v>
      </c>
      <c r="C141" s="3" t="s">
        <v>21</v>
      </c>
      <c r="D141" s="3" t="s">
        <v>22</v>
      </c>
      <c r="E141" s="3" t="s">
        <v>139</v>
      </c>
      <c r="F141" s="3" t="s">
        <v>24</v>
      </c>
      <c r="G141" s="3" t="s">
        <v>13</v>
      </c>
    </row>
    <row r="142" customFormat="false" ht="23.25" hidden="false" customHeight="true" outlineLevel="0" collapsed="false">
      <c r="A142" s="3" t="s">
        <v>19</v>
      </c>
      <c r="B142" s="3" t="s">
        <v>48</v>
      </c>
      <c r="C142" s="3" t="s">
        <v>21</v>
      </c>
      <c r="D142" s="3" t="s">
        <v>22</v>
      </c>
      <c r="E142" s="3" t="s">
        <v>140</v>
      </c>
      <c r="F142" s="3" t="s">
        <v>24</v>
      </c>
      <c r="G142" s="3" t="s">
        <v>13</v>
      </c>
    </row>
    <row r="143" customFormat="false" ht="23.25" hidden="false" customHeight="true" outlineLevel="0" collapsed="false">
      <c r="A143" s="3" t="s">
        <v>19</v>
      </c>
      <c r="B143" s="3" t="s">
        <v>128</v>
      </c>
      <c r="C143" s="3" t="s">
        <v>21</v>
      </c>
      <c r="D143" s="3" t="s">
        <v>22</v>
      </c>
      <c r="E143" s="3" t="s">
        <v>141</v>
      </c>
      <c r="F143" s="3" t="s">
        <v>24</v>
      </c>
      <c r="G143" s="3" t="s">
        <v>13</v>
      </c>
    </row>
    <row r="144" customFormat="false" ht="23.25" hidden="false" customHeight="true" outlineLevel="0" collapsed="false">
      <c r="A144" s="3" t="s">
        <v>19</v>
      </c>
      <c r="B144" s="3" t="s">
        <v>20</v>
      </c>
      <c r="C144" s="3" t="s">
        <v>21</v>
      </c>
      <c r="D144" s="3" t="s">
        <v>22</v>
      </c>
      <c r="E144" s="3" t="s">
        <v>142</v>
      </c>
      <c r="F144" s="3" t="s">
        <v>24</v>
      </c>
      <c r="G144" s="3" t="s">
        <v>13</v>
      </c>
    </row>
    <row r="145" customFormat="false" ht="23.25" hidden="false" customHeight="true" outlineLevel="0" collapsed="false">
      <c r="A145" s="3" t="s">
        <v>19</v>
      </c>
      <c r="B145" s="3" t="s">
        <v>25</v>
      </c>
      <c r="C145" s="3" t="s">
        <v>21</v>
      </c>
      <c r="D145" s="3" t="s">
        <v>22</v>
      </c>
      <c r="E145" s="3" t="s">
        <v>143</v>
      </c>
      <c r="F145" s="3" t="s">
        <v>24</v>
      </c>
      <c r="G145" s="3" t="s">
        <v>13</v>
      </c>
    </row>
    <row r="146" customFormat="false" ht="23.25" hidden="false" customHeight="true" outlineLevel="0" collapsed="false">
      <c r="A146" s="3" t="s">
        <v>19</v>
      </c>
      <c r="B146" s="3" t="s">
        <v>27</v>
      </c>
      <c r="C146" s="3" t="s">
        <v>21</v>
      </c>
      <c r="D146" s="3" t="s">
        <v>22</v>
      </c>
      <c r="E146" s="3" t="s">
        <v>144</v>
      </c>
      <c r="F146" s="3" t="s">
        <v>24</v>
      </c>
      <c r="G146" s="3" t="s">
        <v>13</v>
      </c>
    </row>
    <row r="147" customFormat="false" ht="23.25" hidden="false" customHeight="true" outlineLevel="0" collapsed="false">
      <c r="A147" s="3" t="s">
        <v>19</v>
      </c>
      <c r="B147" s="3" t="s">
        <v>29</v>
      </c>
      <c r="C147" s="3" t="s">
        <v>21</v>
      </c>
      <c r="D147" s="3" t="s">
        <v>22</v>
      </c>
      <c r="E147" s="3" t="s">
        <v>145</v>
      </c>
      <c r="F147" s="3" t="s">
        <v>24</v>
      </c>
      <c r="G147" s="3" t="s">
        <v>13</v>
      </c>
    </row>
    <row r="148" customFormat="false" ht="15" hidden="false" customHeight="true" outlineLevel="0" collapsed="false">
      <c r="A148" s="3" t="s">
        <v>19</v>
      </c>
      <c r="B148" s="3" t="s">
        <v>31</v>
      </c>
      <c r="C148" s="3" t="s">
        <v>21</v>
      </c>
      <c r="D148" s="3" t="s">
        <v>22</v>
      </c>
      <c r="E148" s="3" t="s">
        <v>145</v>
      </c>
      <c r="F148" s="3" t="s">
        <v>24</v>
      </c>
      <c r="G148" s="3" t="s">
        <v>13</v>
      </c>
    </row>
    <row r="149" customFormat="false" ht="15" hidden="false" customHeight="true" outlineLevel="0" collapsed="false">
      <c r="A149" s="3" t="s">
        <v>19</v>
      </c>
      <c r="B149" s="3" t="s">
        <v>32</v>
      </c>
      <c r="C149" s="3" t="s">
        <v>21</v>
      </c>
      <c r="D149" s="3" t="s">
        <v>22</v>
      </c>
      <c r="E149" s="3" t="s">
        <v>146</v>
      </c>
      <c r="F149" s="3" t="s">
        <v>24</v>
      </c>
      <c r="G149" s="3" t="s">
        <v>13</v>
      </c>
    </row>
    <row r="150" customFormat="false" ht="15" hidden="false" customHeight="true" outlineLevel="0" collapsed="false">
      <c r="A150" s="3" t="s">
        <v>19</v>
      </c>
      <c r="B150" s="3" t="s">
        <v>34</v>
      </c>
      <c r="C150" s="3" t="s">
        <v>21</v>
      </c>
      <c r="D150" s="3" t="s">
        <v>22</v>
      </c>
      <c r="E150" s="3" t="s">
        <v>147</v>
      </c>
      <c r="F150" s="3" t="s">
        <v>24</v>
      </c>
      <c r="G150" s="3" t="s">
        <v>13</v>
      </c>
    </row>
    <row r="151" customFormat="false" ht="15" hidden="false" customHeight="true" outlineLevel="0" collapsed="false">
      <c r="A151" s="3" t="s">
        <v>19</v>
      </c>
      <c r="B151" s="3" t="s">
        <v>36</v>
      </c>
      <c r="C151" s="3" t="s">
        <v>21</v>
      </c>
      <c r="D151" s="3" t="s">
        <v>22</v>
      </c>
      <c r="E151" s="3" t="s">
        <v>147</v>
      </c>
      <c r="F151" s="3" t="s">
        <v>24</v>
      </c>
      <c r="G151" s="3" t="s">
        <v>13</v>
      </c>
    </row>
    <row r="152" customFormat="false" ht="15" hidden="false" customHeight="true" outlineLevel="0" collapsed="false">
      <c r="A152" s="3" t="s">
        <v>19</v>
      </c>
      <c r="B152" s="3" t="s">
        <v>37</v>
      </c>
      <c r="C152" s="3" t="s">
        <v>21</v>
      </c>
      <c r="D152" s="3" t="s">
        <v>22</v>
      </c>
      <c r="E152" s="3" t="s">
        <v>147</v>
      </c>
      <c r="F152" s="3" t="s">
        <v>24</v>
      </c>
      <c r="G152" s="3" t="s">
        <v>13</v>
      </c>
    </row>
    <row r="153" customFormat="false" ht="15" hidden="false" customHeight="true" outlineLevel="0" collapsed="false">
      <c r="A153" s="3" t="s">
        <v>19</v>
      </c>
      <c r="B153" s="3" t="s">
        <v>38</v>
      </c>
      <c r="C153" s="3" t="s">
        <v>21</v>
      </c>
      <c r="D153" s="3" t="s">
        <v>22</v>
      </c>
      <c r="E153" s="3" t="s">
        <v>145</v>
      </c>
      <c r="F153" s="3" t="s">
        <v>24</v>
      </c>
      <c r="G153" s="3" t="s">
        <v>13</v>
      </c>
    </row>
    <row r="154" customFormat="false" ht="23.25" hidden="false" customHeight="true" outlineLevel="0" collapsed="false">
      <c r="A154" s="3" t="s">
        <v>19</v>
      </c>
      <c r="B154" s="3" t="s">
        <v>82</v>
      </c>
      <c r="C154" s="3" t="s">
        <v>21</v>
      </c>
      <c r="D154" s="3" t="s">
        <v>22</v>
      </c>
      <c r="E154" s="3" t="s">
        <v>148</v>
      </c>
      <c r="F154" s="3" t="s">
        <v>24</v>
      </c>
      <c r="G154" s="3" t="s">
        <v>13</v>
      </c>
    </row>
    <row r="155" customFormat="false" ht="23.25" hidden="false" customHeight="true" outlineLevel="0" collapsed="false">
      <c r="A155" s="3" t="s">
        <v>19</v>
      </c>
      <c r="B155" s="3" t="s">
        <v>41</v>
      </c>
      <c r="C155" s="3" t="s">
        <v>21</v>
      </c>
      <c r="D155" s="3" t="s">
        <v>22</v>
      </c>
      <c r="E155" s="3" t="s">
        <v>149</v>
      </c>
      <c r="F155" s="3" t="s">
        <v>24</v>
      </c>
      <c r="G155" s="3" t="s">
        <v>13</v>
      </c>
    </row>
    <row r="156" customFormat="false" ht="15" hidden="false" customHeight="true" outlineLevel="0" collapsed="false">
      <c r="A156" s="3" t="s">
        <v>19</v>
      </c>
      <c r="B156" s="3" t="s">
        <v>86</v>
      </c>
      <c r="C156" s="3" t="s">
        <v>21</v>
      </c>
      <c r="D156" s="3" t="s">
        <v>22</v>
      </c>
      <c r="E156" s="3" t="s">
        <v>148</v>
      </c>
      <c r="F156" s="3" t="s">
        <v>24</v>
      </c>
      <c r="G156" s="3" t="s">
        <v>13</v>
      </c>
    </row>
    <row r="157" customFormat="false" ht="15" hidden="false" customHeight="true" outlineLevel="0" collapsed="false">
      <c r="A157" s="3" t="s">
        <v>19</v>
      </c>
      <c r="B157" s="3" t="s">
        <v>44</v>
      </c>
      <c r="C157" s="3" t="s">
        <v>21</v>
      </c>
      <c r="D157" s="3" t="s">
        <v>22</v>
      </c>
      <c r="E157" s="3" t="s">
        <v>150</v>
      </c>
      <c r="F157" s="3" t="s">
        <v>24</v>
      </c>
      <c r="G157" s="3" t="s">
        <v>13</v>
      </c>
    </row>
    <row r="158" customFormat="false" ht="15" hidden="false" customHeight="true" outlineLevel="0" collapsed="false">
      <c r="A158" s="3" t="s">
        <v>19</v>
      </c>
      <c r="B158" s="3" t="s">
        <v>46</v>
      </c>
      <c r="C158" s="3" t="s">
        <v>21</v>
      </c>
      <c r="D158" s="3" t="s">
        <v>22</v>
      </c>
      <c r="E158" s="3" t="s">
        <v>151</v>
      </c>
      <c r="F158" s="3" t="s">
        <v>24</v>
      </c>
      <c r="G158" s="3" t="s">
        <v>13</v>
      </c>
    </row>
    <row r="159" customFormat="false" ht="23.25" hidden="false" customHeight="true" outlineLevel="0" collapsed="false">
      <c r="A159" s="3" t="s">
        <v>19</v>
      </c>
      <c r="B159" s="3" t="s">
        <v>48</v>
      </c>
      <c r="C159" s="3" t="s">
        <v>21</v>
      </c>
      <c r="D159" s="3" t="s">
        <v>22</v>
      </c>
      <c r="E159" s="3" t="s">
        <v>152</v>
      </c>
      <c r="F159" s="3" t="s">
        <v>24</v>
      </c>
      <c r="G159" s="3" t="s">
        <v>13</v>
      </c>
    </row>
    <row r="160" customFormat="false" ht="23.25" hidden="false" customHeight="true" outlineLevel="0" collapsed="false">
      <c r="A160" s="3" t="s">
        <v>19</v>
      </c>
      <c r="B160" s="3" t="s">
        <v>128</v>
      </c>
      <c r="C160" s="3" t="s">
        <v>21</v>
      </c>
      <c r="D160" s="3" t="s">
        <v>22</v>
      </c>
      <c r="E160" s="3" t="s">
        <v>153</v>
      </c>
      <c r="F160" s="3" t="s">
        <v>24</v>
      </c>
      <c r="G160" s="3" t="s">
        <v>13</v>
      </c>
    </row>
    <row r="161" customFormat="false" ht="34.5" hidden="false" customHeight="true" outlineLevel="0" collapsed="false">
      <c r="A161" s="3" t="s">
        <v>19</v>
      </c>
      <c r="B161" s="3" t="s">
        <v>20</v>
      </c>
      <c r="C161" s="3" t="s">
        <v>21</v>
      </c>
      <c r="D161" s="3" t="s">
        <v>22</v>
      </c>
      <c r="E161" s="3" t="s">
        <v>154</v>
      </c>
      <c r="F161" s="3" t="s">
        <v>24</v>
      </c>
      <c r="G161" s="3" t="s">
        <v>13</v>
      </c>
    </row>
    <row r="162" customFormat="false" ht="23.25" hidden="false" customHeight="true" outlineLevel="0" collapsed="false">
      <c r="A162" s="3" t="s">
        <v>19</v>
      </c>
      <c r="B162" s="3" t="s">
        <v>25</v>
      </c>
      <c r="C162" s="3" t="s">
        <v>21</v>
      </c>
      <c r="D162" s="3" t="s">
        <v>22</v>
      </c>
      <c r="E162" s="3" t="s">
        <v>155</v>
      </c>
      <c r="F162" s="3" t="s">
        <v>24</v>
      </c>
      <c r="G162" s="3" t="s">
        <v>13</v>
      </c>
    </row>
    <row r="163" customFormat="false" ht="23.25" hidden="false" customHeight="true" outlineLevel="0" collapsed="false">
      <c r="A163" s="3" t="s">
        <v>19</v>
      </c>
      <c r="B163" s="3" t="s">
        <v>27</v>
      </c>
      <c r="C163" s="3" t="s">
        <v>21</v>
      </c>
      <c r="D163" s="3" t="s">
        <v>22</v>
      </c>
      <c r="E163" s="3" t="s">
        <v>156</v>
      </c>
      <c r="F163" s="3" t="s">
        <v>24</v>
      </c>
      <c r="G163" s="3" t="s">
        <v>13</v>
      </c>
    </row>
    <row r="164" customFormat="false" ht="23.25" hidden="false" customHeight="true" outlineLevel="0" collapsed="false">
      <c r="A164" s="3" t="s">
        <v>19</v>
      </c>
      <c r="B164" s="3" t="s">
        <v>29</v>
      </c>
      <c r="C164" s="3" t="s">
        <v>21</v>
      </c>
      <c r="D164" s="3" t="s">
        <v>22</v>
      </c>
      <c r="E164" s="3" t="s">
        <v>157</v>
      </c>
      <c r="F164" s="3" t="s">
        <v>24</v>
      </c>
      <c r="G164" s="3" t="s">
        <v>13</v>
      </c>
    </row>
    <row r="165" customFormat="false" ht="15" hidden="false" customHeight="true" outlineLevel="0" collapsed="false">
      <c r="A165" s="3" t="s">
        <v>19</v>
      </c>
      <c r="B165" s="3" t="s">
        <v>31</v>
      </c>
      <c r="C165" s="3" t="s">
        <v>21</v>
      </c>
      <c r="D165" s="3" t="s">
        <v>22</v>
      </c>
      <c r="E165" s="3" t="s">
        <v>157</v>
      </c>
      <c r="F165" s="3" t="s">
        <v>24</v>
      </c>
      <c r="G165" s="3" t="s">
        <v>13</v>
      </c>
    </row>
    <row r="166" customFormat="false" ht="15" hidden="false" customHeight="true" outlineLevel="0" collapsed="false">
      <c r="A166" s="3" t="s">
        <v>19</v>
      </c>
      <c r="B166" s="3" t="s">
        <v>32</v>
      </c>
      <c r="C166" s="3" t="s">
        <v>21</v>
      </c>
      <c r="D166" s="3" t="s">
        <v>22</v>
      </c>
      <c r="E166" s="3" t="s">
        <v>158</v>
      </c>
      <c r="F166" s="3" t="s">
        <v>24</v>
      </c>
      <c r="G166" s="3" t="s">
        <v>13</v>
      </c>
    </row>
    <row r="167" customFormat="false" ht="15" hidden="false" customHeight="true" outlineLevel="0" collapsed="false">
      <c r="A167" s="3" t="s">
        <v>19</v>
      </c>
      <c r="B167" s="3" t="s">
        <v>34</v>
      </c>
      <c r="C167" s="3" t="s">
        <v>21</v>
      </c>
      <c r="D167" s="3" t="s">
        <v>22</v>
      </c>
      <c r="E167" s="3" t="s">
        <v>159</v>
      </c>
      <c r="F167" s="3" t="s">
        <v>24</v>
      </c>
      <c r="G167" s="3" t="s">
        <v>13</v>
      </c>
    </row>
    <row r="168" customFormat="false" ht="15" hidden="false" customHeight="true" outlineLevel="0" collapsed="false">
      <c r="A168" s="3" t="s">
        <v>19</v>
      </c>
      <c r="B168" s="3" t="s">
        <v>36</v>
      </c>
      <c r="C168" s="3" t="s">
        <v>21</v>
      </c>
      <c r="D168" s="3" t="s">
        <v>22</v>
      </c>
      <c r="E168" s="3" t="s">
        <v>159</v>
      </c>
      <c r="F168" s="3" t="s">
        <v>24</v>
      </c>
      <c r="G168" s="3" t="s">
        <v>13</v>
      </c>
    </row>
    <row r="169" customFormat="false" ht="15" hidden="false" customHeight="true" outlineLevel="0" collapsed="false">
      <c r="A169" s="3" t="s">
        <v>19</v>
      </c>
      <c r="B169" s="3" t="s">
        <v>37</v>
      </c>
      <c r="C169" s="3" t="s">
        <v>21</v>
      </c>
      <c r="D169" s="3" t="s">
        <v>22</v>
      </c>
      <c r="E169" s="3" t="s">
        <v>159</v>
      </c>
      <c r="F169" s="3" t="s">
        <v>24</v>
      </c>
      <c r="G169" s="3" t="s">
        <v>13</v>
      </c>
    </row>
    <row r="170" customFormat="false" ht="15" hidden="false" customHeight="true" outlineLevel="0" collapsed="false">
      <c r="A170" s="3" t="s">
        <v>19</v>
      </c>
      <c r="B170" s="3" t="s">
        <v>38</v>
      </c>
      <c r="C170" s="3" t="s">
        <v>21</v>
      </c>
      <c r="D170" s="3" t="s">
        <v>22</v>
      </c>
      <c r="E170" s="3" t="s">
        <v>157</v>
      </c>
      <c r="F170" s="3" t="s">
        <v>24</v>
      </c>
      <c r="G170" s="3" t="s">
        <v>13</v>
      </c>
    </row>
    <row r="171" customFormat="false" ht="23.25" hidden="false" customHeight="true" outlineLevel="0" collapsed="false">
      <c r="A171" s="3" t="s">
        <v>19</v>
      </c>
      <c r="B171" s="3" t="s">
        <v>82</v>
      </c>
      <c r="C171" s="3" t="s">
        <v>21</v>
      </c>
      <c r="D171" s="3" t="s">
        <v>22</v>
      </c>
      <c r="E171" s="3" t="s">
        <v>160</v>
      </c>
      <c r="F171" s="3" t="s">
        <v>24</v>
      </c>
      <c r="G171" s="3" t="s">
        <v>13</v>
      </c>
    </row>
    <row r="172" customFormat="false" ht="23.25" hidden="false" customHeight="true" outlineLevel="0" collapsed="false">
      <c r="A172" s="3" t="s">
        <v>19</v>
      </c>
      <c r="B172" s="3" t="s">
        <v>41</v>
      </c>
      <c r="C172" s="3" t="s">
        <v>21</v>
      </c>
      <c r="D172" s="3" t="s">
        <v>22</v>
      </c>
      <c r="E172" s="3" t="s">
        <v>161</v>
      </c>
      <c r="F172" s="3" t="s">
        <v>24</v>
      </c>
      <c r="G172" s="3" t="s">
        <v>13</v>
      </c>
    </row>
    <row r="173" customFormat="false" ht="15" hidden="false" customHeight="true" outlineLevel="0" collapsed="false">
      <c r="A173" s="3" t="s">
        <v>19</v>
      </c>
      <c r="B173" s="3" t="s">
        <v>86</v>
      </c>
      <c r="C173" s="3" t="s">
        <v>21</v>
      </c>
      <c r="D173" s="3" t="s">
        <v>22</v>
      </c>
      <c r="E173" s="3" t="s">
        <v>160</v>
      </c>
      <c r="F173" s="3" t="s">
        <v>24</v>
      </c>
      <c r="G173" s="3" t="s">
        <v>13</v>
      </c>
    </row>
    <row r="174" customFormat="false" ht="15" hidden="false" customHeight="true" outlineLevel="0" collapsed="false">
      <c r="A174" s="3" t="s">
        <v>19</v>
      </c>
      <c r="B174" s="3" t="s">
        <v>44</v>
      </c>
      <c r="C174" s="3" t="s">
        <v>21</v>
      </c>
      <c r="D174" s="3" t="s">
        <v>22</v>
      </c>
      <c r="E174" s="3" t="s">
        <v>162</v>
      </c>
      <c r="F174" s="3" t="s">
        <v>24</v>
      </c>
      <c r="G174" s="3" t="s">
        <v>13</v>
      </c>
    </row>
    <row r="175" customFormat="false" ht="23.25" hidden="false" customHeight="true" outlineLevel="0" collapsed="false">
      <c r="A175" s="3" t="s">
        <v>19</v>
      </c>
      <c r="B175" s="3" t="s">
        <v>163</v>
      </c>
      <c r="C175" s="3" t="s">
        <v>21</v>
      </c>
      <c r="D175" s="3" t="s">
        <v>22</v>
      </c>
      <c r="E175" s="3" t="s">
        <v>164</v>
      </c>
      <c r="F175" s="3" t="s">
        <v>24</v>
      </c>
      <c r="G175" s="3" t="s">
        <v>13</v>
      </c>
    </row>
    <row r="176" customFormat="false" ht="23.25" hidden="false" customHeight="true" outlineLevel="0" collapsed="false">
      <c r="A176" s="3" t="s">
        <v>19</v>
      </c>
      <c r="B176" s="3" t="s">
        <v>48</v>
      </c>
      <c r="C176" s="3" t="s">
        <v>21</v>
      </c>
      <c r="D176" s="3" t="s">
        <v>22</v>
      </c>
      <c r="E176" s="3" t="s">
        <v>165</v>
      </c>
      <c r="F176" s="3" t="s">
        <v>24</v>
      </c>
      <c r="G176" s="3" t="s">
        <v>13</v>
      </c>
    </row>
    <row r="177" customFormat="false" ht="23.25" hidden="false" customHeight="true" outlineLevel="0" collapsed="false">
      <c r="A177" s="3" t="s">
        <v>19</v>
      </c>
      <c r="B177" s="3" t="s">
        <v>128</v>
      </c>
      <c r="C177" s="3" t="s">
        <v>21</v>
      </c>
      <c r="D177" s="3" t="s">
        <v>22</v>
      </c>
      <c r="E177" s="3" t="s">
        <v>166</v>
      </c>
      <c r="F177" s="3" t="s">
        <v>24</v>
      </c>
      <c r="G177" s="3" t="s">
        <v>13</v>
      </c>
    </row>
    <row r="178" customFormat="false" ht="57" hidden="false" customHeight="true" outlineLevel="0" collapsed="false">
      <c r="A178" s="3" t="s">
        <v>19</v>
      </c>
      <c r="B178" s="3" t="s">
        <v>167</v>
      </c>
      <c r="C178" s="3" t="s">
        <v>21</v>
      </c>
      <c r="D178" s="3" t="s">
        <v>22</v>
      </c>
      <c r="E178" s="3" t="s">
        <v>168</v>
      </c>
      <c r="F178" s="3" t="s">
        <v>24</v>
      </c>
      <c r="G178" s="3" t="s">
        <v>13</v>
      </c>
    </row>
    <row r="179" customFormat="false" ht="23.25" hidden="false" customHeight="true" outlineLevel="0" collapsed="false">
      <c r="A179" s="3" t="s">
        <v>19</v>
      </c>
      <c r="B179" s="3" t="s">
        <v>169</v>
      </c>
      <c r="C179" s="3" t="s">
        <v>21</v>
      </c>
      <c r="D179" s="3" t="s">
        <v>22</v>
      </c>
      <c r="E179" s="3" t="s">
        <v>170</v>
      </c>
      <c r="F179" s="3" t="s">
        <v>24</v>
      </c>
      <c r="G179" s="3" t="s">
        <v>13</v>
      </c>
    </row>
    <row r="180" customFormat="false" ht="45.75" hidden="false" customHeight="true" outlineLevel="0" collapsed="false">
      <c r="A180" s="3" t="s">
        <v>19</v>
      </c>
      <c r="B180" s="3" t="s">
        <v>171</v>
      </c>
      <c r="C180" s="3" t="s">
        <v>21</v>
      </c>
      <c r="D180" s="3" t="s">
        <v>22</v>
      </c>
      <c r="E180" s="3" t="s">
        <v>172</v>
      </c>
      <c r="F180" s="3" t="s">
        <v>24</v>
      </c>
      <c r="G180" s="3" t="s">
        <v>13</v>
      </c>
    </row>
    <row r="181" customFormat="false" ht="57" hidden="false" customHeight="true" outlineLevel="0" collapsed="false">
      <c r="A181" s="3" t="s">
        <v>19</v>
      </c>
      <c r="B181" s="3" t="s">
        <v>173</v>
      </c>
      <c r="C181" s="3" t="s">
        <v>21</v>
      </c>
      <c r="D181" s="3" t="s">
        <v>22</v>
      </c>
      <c r="E181" s="3" t="s">
        <v>174</v>
      </c>
      <c r="F181" s="3" t="s">
        <v>24</v>
      </c>
      <c r="G181" s="3" t="s">
        <v>13</v>
      </c>
    </row>
    <row r="182" customFormat="false" ht="23.25" hidden="false" customHeight="true" outlineLevel="0" collapsed="false">
      <c r="A182" s="3" t="s">
        <v>175</v>
      </c>
      <c r="B182" s="3" t="s">
        <v>176</v>
      </c>
      <c r="C182" s="3" t="s">
        <v>177</v>
      </c>
      <c r="D182" s="3" t="s">
        <v>178</v>
      </c>
      <c r="E182" s="3" t="s">
        <v>179</v>
      </c>
      <c r="F182" s="3" t="s">
        <v>24</v>
      </c>
      <c r="G182" s="3" t="s">
        <v>13</v>
      </c>
    </row>
    <row r="183" customFormat="false" ht="23.25" hidden="false" customHeight="true" outlineLevel="0" collapsed="false">
      <c r="A183" s="3" t="s">
        <v>180</v>
      </c>
      <c r="B183" s="3" t="s">
        <v>181</v>
      </c>
      <c r="C183" s="3" t="s">
        <v>177</v>
      </c>
      <c r="D183" s="3" t="s">
        <v>178</v>
      </c>
      <c r="E183" s="3" t="s">
        <v>182</v>
      </c>
      <c r="F183" s="3" t="s">
        <v>24</v>
      </c>
      <c r="G183" s="3" t="s">
        <v>13</v>
      </c>
    </row>
    <row r="184" customFormat="false" ht="23.25" hidden="false" customHeight="true" outlineLevel="0" collapsed="false">
      <c r="A184" s="3" t="s">
        <v>183</v>
      </c>
      <c r="B184" s="3" t="s">
        <v>184</v>
      </c>
      <c r="C184" s="3" t="s">
        <v>177</v>
      </c>
      <c r="D184" s="3" t="s">
        <v>178</v>
      </c>
      <c r="E184" s="3" t="s">
        <v>185</v>
      </c>
      <c r="F184" s="3" t="s">
        <v>24</v>
      </c>
      <c r="G184" s="3" t="s">
        <v>13</v>
      </c>
    </row>
    <row r="186" customFormat="false" ht="23.25" hidden="false" customHeight="true" outlineLevel="0" collapsed="false">
      <c r="A186" s="3" t="s">
        <v>186</v>
      </c>
      <c r="B186" s="3" t="s">
        <v>187</v>
      </c>
      <c r="C186" s="3" t="s">
        <v>188</v>
      </c>
      <c r="D186" s="3" t="s">
        <v>22</v>
      </c>
      <c r="E186" s="3" t="s">
        <v>189</v>
      </c>
      <c r="F186" s="3" t="s">
        <v>24</v>
      </c>
      <c r="G186" s="3" t="s">
        <v>13</v>
      </c>
    </row>
    <row r="187" customFormat="false" ht="23.25" hidden="false" customHeight="true" outlineLevel="0" collapsed="false">
      <c r="A187" s="3" t="s">
        <v>186</v>
      </c>
      <c r="B187" s="3" t="s">
        <v>190</v>
      </c>
      <c r="C187" s="3" t="s">
        <v>188</v>
      </c>
      <c r="D187" s="3" t="s">
        <v>22</v>
      </c>
      <c r="E187" s="3" t="s">
        <v>191</v>
      </c>
      <c r="F187" s="3" t="s">
        <v>24</v>
      </c>
      <c r="G187" s="3" t="s">
        <v>13</v>
      </c>
    </row>
    <row r="188" customFormat="false" ht="23.25" hidden="false" customHeight="true" outlineLevel="0" collapsed="false">
      <c r="A188" s="3" t="s">
        <v>186</v>
      </c>
      <c r="B188" s="3" t="s">
        <v>192</v>
      </c>
      <c r="C188" s="3" t="s">
        <v>188</v>
      </c>
      <c r="D188" s="3" t="s">
        <v>22</v>
      </c>
      <c r="E188" s="3" t="s">
        <v>193</v>
      </c>
      <c r="F188" s="3" t="s">
        <v>24</v>
      </c>
      <c r="G188" s="3" t="s">
        <v>13</v>
      </c>
    </row>
    <row r="189" customFormat="false" ht="23.25" hidden="false" customHeight="true" outlineLevel="0" collapsed="false">
      <c r="A189" s="3" t="s">
        <v>186</v>
      </c>
      <c r="B189" s="3" t="s">
        <v>194</v>
      </c>
      <c r="C189" s="3" t="s">
        <v>188</v>
      </c>
      <c r="D189" s="3" t="s">
        <v>22</v>
      </c>
      <c r="E189" s="3" t="s">
        <v>195</v>
      </c>
      <c r="F189" s="3" t="s">
        <v>24</v>
      </c>
      <c r="G189" s="3" t="s">
        <v>13</v>
      </c>
    </row>
    <row r="190" customFormat="false" ht="23.25" hidden="false" customHeight="true" outlineLevel="0" collapsed="false">
      <c r="A190" s="3" t="s">
        <v>186</v>
      </c>
      <c r="B190" s="3" t="s">
        <v>196</v>
      </c>
      <c r="C190" s="3" t="s">
        <v>188</v>
      </c>
      <c r="D190" s="3" t="s">
        <v>22</v>
      </c>
      <c r="E190" s="3" t="s">
        <v>197</v>
      </c>
      <c r="F190" s="3" t="s">
        <v>24</v>
      </c>
      <c r="G190" s="3" t="s">
        <v>13</v>
      </c>
    </row>
    <row r="191" customFormat="false" ht="23.25" hidden="false" customHeight="true" outlineLevel="0" collapsed="false">
      <c r="A191" s="3" t="s">
        <v>186</v>
      </c>
      <c r="B191" s="3" t="s">
        <v>198</v>
      </c>
      <c r="C191" s="3" t="s">
        <v>188</v>
      </c>
      <c r="D191" s="3" t="s">
        <v>22</v>
      </c>
      <c r="E191" s="3" t="s">
        <v>199</v>
      </c>
      <c r="F191" s="3" t="s">
        <v>24</v>
      </c>
      <c r="G191" s="3" t="s">
        <v>13</v>
      </c>
    </row>
    <row r="192" customFormat="false" ht="23.25" hidden="false" customHeight="true" outlineLevel="0" collapsed="false">
      <c r="A192" s="3" t="s">
        <v>186</v>
      </c>
      <c r="B192" s="3" t="s">
        <v>200</v>
      </c>
      <c r="C192" s="3" t="s">
        <v>188</v>
      </c>
      <c r="D192" s="3" t="s">
        <v>22</v>
      </c>
      <c r="E192" s="3" t="s">
        <v>201</v>
      </c>
      <c r="F192" s="3" t="s">
        <v>24</v>
      </c>
      <c r="G192" s="3" t="s">
        <v>13</v>
      </c>
    </row>
    <row r="193" customFormat="false" ht="23.25" hidden="false" customHeight="true" outlineLevel="0" collapsed="false">
      <c r="A193" s="3" t="s">
        <v>186</v>
      </c>
      <c r="B193" s="3" t="s">
        <v>202</v>
      </c>
      <c r="C193" s="3" t="s">
        <v>188</v>
      </c>
      <c r="D193" s="3" t="s">
        <v>22</v>
      </c>
      <c r="E193" s="3" t="s">
        <v>203</v>
      </c>
      <c r="F193" s="3" t="s">
        <v>24</v>
      </c>
      <c r="G193" s="3" t="s">
        <v>13</v>
      </c>
    </row>
    <row r="194" customFormat="false" ht="23.25" hidden="false" customHeight="true" outlineLevel="0" collapsed="false">
      <c r="A194" s="3" t="s">
        <v>186</v>
      </c>
      <c r="B194" s="3" t="s">
        <v>204</v>
      </c>
      <c r="C194" s="3" t="s">
        <v>188</v>
      </c>
      <c r="D194" s="3" t="s">
        <v>22</v>
      </c>
      <c r="E194" s="3" t="s">
        <v>205</v>
      </c>
      <c r="F194" s="3" t="s">
        <v>24</v>
      </c>
      <c r="G194" s="3" t="s">
        <v>13</v>
      </c>
    </row>
    <row r="195" customFormat="false" ht="23.25" hidden="false" customHeight="true" outlineLevel="0" collapsed="false">
      <c r="A195" s="3" t="s">
        <v>186</v>
      </c>
      <c r="B195" s="3" t="s">
        <v>206</v>
      </c>
      <c r="C195" s="3" t="s">
        <v>188</v>
      </c>
      <c r="D195" s="3" t="s">
        <v>22</v>
      </c>
      <c r="E195" s="3" t="s">
        <v>207</v>
      </c>
      <c r="F195" s="3" t="s">
        <v>24</v>
      </c>
      <c r="G195" s="3" t="s">
        <v>13</v>
      </c>
    </row>
    <row r="196" customFormat="false" ht="23.25" hidden="false" customHeight="true" outlineLevel="0" collapsed="false">
      <c r="A196" s="3" t="s">
        <v>186</v>
      </c>
      <c r="B196" s="3" t="s">
        <v>208</v>
      </c>
      <c r="C196" s="3" t="s">
        <v>188</v>
      </c>
      <c r="D196" s="3" t="s">
        <v>22</v>
      </c>
      <c r="E196" s="3" t="s">
        <v>209</v>
      </c>
      <c r="F196" s="3" t="s">
        <v>24</v>
      </c>
      <c r="G196" s="3" t="s">
        <v>13</v>
      </c>
    </row>
    <row r="197" customFormat="false" ht="23.25" hidden="false" customHeight="true" outlineLevel="0" collapsed="false">
      <c r="A197" s="3" t="s">
        <v>186</v>
      </c>
      <c r="B197" s="3" t="s">
        <v>210</v>
      </c>
      <c r="C197" s="3" t="s">
        <v>188</v>
      </c>
      <c r="D197" s="3" t="s">
        <v>22</v>
      </c>
      <c r="E197" s="3" t="s">
        <v>211</v>
      </c>
      <c r="F197" s="3" t="s">
        <v>24</v>
      </c>
      <c r="G197" s="3" t="s">
        <v>13</v>
      </c>
    </row>
    <row r="198" customFormat="false" ht="23.25" hidden="false" customHeight="true" outlineLevel="0" collapsed="false">
      <c r="A198" s="3" t="s">
        <v>186</v>
      </c>
      <c r="B198" s="3" t="s">
        <v>212</v>
      </c>
      <c r="C198" s="3" t="s">
        <v>188</v>
      </c>
      <c r="D198" s="3" t="s">
        <v>22</v>
      </c>
      <c r="E198" s="3" t="s">
        <v>213</v>
      </c>
      <c r="F198" s="3" t="s">
        <v>24</v>
      </c>
      <c r="G198" s="3" t="s">
        <v>13</v>
      </c>
    </row>
    <row r="199" customFormat="false" ht="23.25" hidden="false" customHeight="true" outlineLevel="0" collapsed="false">
      <c r="A199" s="3" t="s">
        <v>186</v>
      </c>
      <c r="B199" s="3" t="s">
        <v>214</v>
      </c>
      <c r="C199" s="3" t="s">
        <v>188</v>
      </c>
      <c r="D199" s="3" t="s">
        <v>22</v>
      </c>
      <c r="E199" s="3" t="s">
        <v>215</v>
      </c>
      <c r="F199" s="3" t="s">
        <v>24</v>
      </c>
      <c r="G199" s="3" t="s">
        <v>13</v>
      </c>
    </row>
    <row r="200" customFormat="false" ht="23.25" hidden="false" customHeight="true" outlineLevel="0" collapsed="false">
      <c r="A200" s="3" t="s">
        <v>186</v>
      </c>
      <c r="B200" s="3" t="s">
        <v>216</v>
      </c>
      <c r="C200" s="3" t="s">
        <v>188</v>
      </c>
      <c r="D200" s="3" t="s">
        <v>22</v>
      </c>
      <c r="E200" s="3" t="s">
        <v>217</v>
      </c>
      <c r="F200" s="3" t="s">
        <v>24</v>
      </c>
      <c r="G200" s="3" t="s">
        <v>13</v>
      </c>
    </row>
    <row r="201" customFormat="false" ht="23.25" hidden="false" customHeight="true" outlineLevel="0" collapsed="false">
      <c r="A201" s="3" t="s">
        <v>186</v>
      </c>
      <c r="B201" s="3" t="s">
        <v>218</v>
      </c>
      <c r="C201" s="3" t="s">
        <v>188</v>
      </c>
      <c r="D201" s="3" t="s">
        <v>22</v>
      </c>
      <c r="E201" s="3" t="s">
        <v>219</v>
      </c>
      <c r="F201" s="3" t="s">
        <v>24</v>
      </c>
      <c r="G201" s="3" t="s">
        <v>13</v>
      </c>
    </row>
    <row r="202" customFormat="false" ht="23.25" hidden="false" customHeight="true" outlineLevel="0" collapsed="false">
      <c r="A202" s="3" t="s">
        <v>186</v>
      </c>
      <c r="B202" s="3" t="s">
        <v>220</v>
      </c>
      <c r="C202" s="3" t="s">
        <v>188</v>
      </c>
      <c r="D202" s="3" t="s">
        <v>22</v>
      </c>
      <c r="E202" s="3" t="s">
        <v>221</v>
      </c>
      <c r="F202" s="3" t="s">
        <v>24</v>
      </c>
      <c r="G202" s="3" t="s">
        <v>13</v>
      </c>
    </row>
    <row r="203" customFormat="false" ht="23.25" hidden="false" customHeight="true" outlineLevel="0" collapsed="false">
      <c r="A203" s="3" t="s">
        <v>186</v>
      </c>
      <c r="B203" s="3" t="s">
        <v>222</v>
      </c>
      <c r="C203" s="3" t="s">
        <v>188</v>
      </c>
      <c r="D203" s="3" t="s">
        <v>22</v>
      </c>
      <c r="E203" s="3" t="s">
        <v>205</v>
      </c>
      <c r="F203" s="3" t="s">
        <v>24</v>
      </c>
      <c r="G203" s="3" t="s">
        <v>13</v>
      </c>
    </row>
    <row r="204" customFormat="false" ht="23.25" hidden="false" customHeight="true" outlineLevel="0" collapsed="false">
      <c r="A204" s="3" t="s">
        <v>186</v>
      </c>
      <c r="B204" s="3" t="s">
        <v>223</v>
      </c>
      <c r="C204" s="3" t="s">
        <v>188</v>
      </c>
      <c r="D204" s="3" t="s">
        <v>22</v>
      </c>
      <c r="E204" s="3" t="s">
        <v>207</v>
      </c>
      <c r="F204" s="3" t="s">
        <v>24</v>
      </c>
      <c r="G204" s="3" t="s">
        <v>13</v>
      </c>
    </row>
    <row r="205" customFormat="false" ht="23.25" hidden="false" customHeight="true" outlineLevel="0" collapsed="false">
      <c r="A205" s="3" t="s">
        <v>186</v>
      </c>
      <c r="B205" s="3" t="s">
        <v>224</v>
      </c>
      <c r="C205" s="3" t="s">
        <v>188</v>
      </c>
      <c r="D205" s="3" t="s">
        <v>22</v>
      </c>
      <c r="E205" s="3" t="s">
        <v>209</v>
      </c>
      <c r="F205" s="3" t="s">
        <v>24</v>
      </c>
      <c r="G205" s="3" t="s">
        <v>13</v>
      </c>
    </row>
    <row r="206" customFormat="false" ht="23.25" hidden="false" customHeight="true" outlineLevel="0" collapsed="false">
      <c r="A206" s="3" t="s">
        <v>186</v>
      </c>
      <c r="B206" s="3" t="s">
        <v>225</v>
      </c>
      <c r="C206" s="3" t="s">
        <v>188</v>
      </c>
      <c r="D206" s="3" t="s">
        <v>22</v>
      </c>
      <c r="E206" s="3" t="s">
        <v>226</v>
      </c>
      <c r="F206" s="3" t="s">
        <v>24</v>
      </c>
      <c r="G206" s="3" t="s">
        <v>13</v>
      </c>
    </row>
    <row r="207" customFormat="false" ht="23.25" hidden="false" customHeight="true" outlineLevel="0" collapsed="false">
      <c r="A207" s="3" t="s">
        <v>186</v>
      </c>
      <c r="B207" s="3" t="s">
        <v>227</v>
      </c>
      <c r="C207" s="3" t="s">
        <v>188</v>
      </c>
      <c r="D207" s="3" t="s">
        <v>22</v>
      </c>
      <c r="E207" s="3" t="s">
        <v>213</v>
      </c>
      <c r="F207" s="3" t="s">
        <v>24</v>
      </c>
      <c r="G207" s="3" t="s">
        <v>13</v>
      </c>
    </row>
    <row r="208" customFormat="false" ht="23.25" hidden="false" customHeight="true" outlineLevel="0" collapsed="false">
      <c r="A208" s="3" t="s">
        <v>186</v>
      </c>
      <c r="B208" s="3" t="s">
        <v>228</v>
      </c>
      <c r="C208" s="3" t="s">
        <v>188</v>
      </c>
      <c r="D208" s="3" t="s">
        <v>22</v>
      </c>
      <c r="E208" s="3" t="s">
        <v>215</v>
      </c>
      <c r="F208" s="3" t="s">
        <v>24</v>
      </c>
      <c r="G208" s="3" t="s">
        <v>13</v>
      </c>
    </row>
    <row r="209" customFormat="false" ht="23.25" hidden="false" customHeight="true" outlineLevel="0" collapsed="false">
      <c r="A209" s="3" t="s">
        <v>186</v>
      </c>
      <c r="B209" s="3" t="s">
        <v>229</v>
      </c>
      <c r="C209" s="3" t="s">
        <v>188</v>
      </c>
      <c r="D209" s="3" t="s">
        <v>22</v>
      </c>
      <c r="E209" s="3" t="s">
        <v>217</v>
      </c>
      <c r="F209" s="3" t="s">
        <v>24</v>
      </c>
      <c r="G209" s="3" t="s">
        <v>13</v>
      </c>
    </row>
    <row r="210" customFormat="false" ht="23.25" hidden="false" customHeight="true" outlineLevel="0" collapsed="false">
      <c r="A210" s="3" t="s">
        <v>186</v>
      </c>
      <c r="B210" s="3" t="s">
        <v>230</v>
      </c>
      <c r="C210" s="3" t="s">
        <v>188</v>
      </c>
      <c r="D210" s="3" t="s">
        <v>22</v>
      </c>
      <c r="E210" s="3" t="s">
        <v>219</v>
      </c>
      <c r="F210" s="3" t="s">
        <v>24</v>
      </c>
      <c r="G210" s="3" t="s">
        <v>13</v>
      </c>
    </row>
    <row r="211" customFormat="false" ht="23.25" hidden="false" customHeight="true" outlineLevel="0" collapsed="false">
      <c r="A211" s="3" t="s">
        <v>186</v>
      </c>
      <c r="B211" s="3" t="s">
        <v>231</v>
      </c>
      <c r="C211" s="3" t="s">
        <v>188</v>
      </c>
      <c r="D211" s="3" t="s">
        <v>22</v>
      </c>
      <c r="E211" s="3" t="s">
        <v>232</v>
      </c>
      <c r="F211" s="3" t="s">
        <v>24</v>
      </c>
      <c r="G211" s="3" t="s">
        <v>13</v>
      </c>
    </row>
    <row r="212" customFormat="false" ht="23.25" hidden="false" customHeight="true" outlineLevel="0" collapsed="false">
      <c r="A212" s="3" t="s">
        <v>186</v>
      </c>
      <c r="B212" s="3" t="s">
        <v>233</v>
      </c>
      <c r="C212" s="3" t="s">
        <v>188</v>
      </c>
      <c r="D212" s="3" t="s">
        <v>22</v>
      </c>
      <c r="E212" s="3" t="s">
        <v>205</v>
      </c>
      <c r="F212" s="3" t="s">
        <v>24</v>
      </c>
      <c r="G212" s="3" t="s">
        <v>13</v>
      </c>
    </row>
    <row r="213" customFormat="false" ht="23.25" hidden="false" customHeight="true" outlineLevel="0" collapsed="false">
      <c r="A213" s="3" t="s">
        <v>186</v>
      </c>
      <c r="B213" s="3" t="s">
        <v>234</v>
      </c>
      <c r="C213" s="3" t="s">
        <v>188</v>
      </c>
      <c r="D213" s="3" t="s">
        <v>22</v>
      </c>
      <c r="E213" s="3" t="s">
        <v>207</v>
      </c>
      <c r="F213" s="3" t="s">
        <v>24</v>
      </c>
      <c r="G213" s="3" t="s">
        <v>13</v>
      </c>
    </row>
    <row r="214" customFormat="false" ht="23.25" hidden="false" customHeight="true" outlineLevel="0" collapsed="false">
      <c r="A214" s="3" t="s">
        <v>186</v>
      </c>
      <c r="B214" s="3" t="s">
        <v>235</v>
      </c>
      <c r="C214" s="3" t="s">
        <v>188</v>
      </c>
      <c r="D214" s="3" t="s">
        <v>22</v>
      </c>
      <c r="E214" s="3" t="s">
        <v>209</v>
      </c>
      <c r="F214" s="3" t="s">
        <v>24</v>
      </c>
      <c r="G214" s="3" t="s">
        <v>13</v>
      </c>
    </row>
    <row r="215" customFormat="false" ht="23.25" hidden="false" customHeight="true" outlineLevel="0" collapsed="false">
      <c r="A215" s="3" t="s">
        <v>186</v>
      </c>
      <c r="B215" s="3" t="s">
        <v>236</v>
      </c>
      <c r="C215" s="3" t="s">
        <v>188</v>
      </c>
      <c r="D215" s="3" t="s">
        <v>22</v>
      </c>
      <c r="E215" s="3" t="s">
        <v>237</v>
      </c>
      <c r="F215" s="3" t="s">
        <v>24</v>
      </c>
      <c r="G215" s="3" t="s">
        <v>13</v>
      </c>
    </row>
    <row r="216" customFormat="false" ht="23.25" hidden="false" customHeight="true" outlineLevel="0" collapsed="false">
      <c r="A216" s="3" t="s">
        <v>186</v>
      </c>
      <c r="B216" s="3" t="s">
        <v>238</v>
      </c>
      <c r="C216" s="3" t="s">
        <v>188</v>
      </c>
      <c r="D216" s="3" t="s">
        <v>22</v>
      </c>
      <c r="E216" s="3" t="s">
        <v>213</v>
      </c>
      <c r="F216" s="3" t="s">
        <v>24</v>
      </c>
      <c r="G216" s="3" t="s">
        <v>13</v>
      </c>
    </row>
    <row r="217" customFormat="false" ht="23.25" hidden="false" customHeight="true" outlineLevel="0" collapsed="false">
      <c r="A217" s="3" t="s">
        <v>186</v>
      </c>
      <c r="B217" s="3" t="s">
        <v>239</v>
      </c>
      <c r="C217" s="3" t="s">
        <v>188</v>
      </c>
      <c r="D217" s="3" t="s">
        <v>22</v>
      </c>
      <c r="E217" s="3" t="s">
        <v>215</v>
      </c>
      <c r="F217" s="3" t="s">
        <v>24</v>
      </c>
      <c r="G217" s="3" t="s">
        <v>13</v>
      </c>
    </row>
    <row r="218" customFormat="false" ht="23.25" hidden="false" customHeight="true" outlineLevel="0" collapsed="false">
      <c r="A218" s="3" t="s">
        <v>186</v>
      </c>
      <c r="B218" s="3" t="s">
        <v>240</v>
      </c>
      <c r="C218" s="3" t="s">
        <v>188</v>
      </c>
      <c r="D218" s="3" t="s">
        <v>22</v>
      </c>
      <c r="E218" s="3" t="s">
        <v>217</v>
      </c>
      <c r="F218" s="3" t="s">
        <v>24</v>
      </c>
      <c r="G218" s="3" t="s">
        <v>13</v>
      </c>
    </row>
    <row r="219" customFormat="false" ht="23.25" hidden="false" customHeight="true" outlineLevel="0" collapsed="false">
      <c r="A219" s="3" t="s">
        <v>186</v>
      </c>
      <c r="B219" s="3" t="s">
        <v>241</v>
      </c>
      <c r="C219" s="3" t="s">
        <v>188</v>
      </c>
      <c r="D219" s="3" t="s">
        <v>22</v>
      </c>
      <c r="E219" s="3" t="s">
        <v>219</v>
      </c>
      <c r="F219" s="3" t="s">
        <v>24</v>
      </c>
      <c r="G219" s="3" t="s">
        <v>13</v>
      </c>
    </row>
    <row r="220" customFormat="false" ht="23.25" hidden="false" customHeight="true" outlineLevel="0" collapsed="false">
      <c r="A220" s="3" t="s">
        <v>186</v>
      </c>
      <c r="B220" s="3" t="s">
        <v>242</v>
      </c>
      <c r="C220" s="3" t="s">
        <v>188</v>
      </c>
      <c r="D220" s="3" t="s">
        <v>22</v>
      </c>
      <c r="E220" s="3" t="s">
        <v>243</v>
      </c>
      <c r="F220" s="3" t="s">
        <v>24</v>
      </c>
      <c r="G220" s="3" t="s">
        <v>13</v>
      </c>
    </row>
    <row r="221" customFormat="false" ht="23.25" hidden="false" customHeight="true" outlineLevel="0" collapsed="false">
      <c r="A221" s="3" t="s">
        <v>186</v>
      </c>
      <c r="B221" s="3" t="s">
        <v>244</v>
      </c>
      <c r="C221" s="3" t="s">
        <v>188</v>
      </c>
      <c r="D221" s="3" t="s">
        <v>22</v>
      </c>
      <c r="E221" s="3" t="s">
        <v>205</v>
      </c>
      <c r="F221" s="3" t="s">
        <v>24</v>
      </c>
      <c r="G221" s="3" t="s">
        <v>13</v>
      </c>
    </row>
    <row r="222" customFormat="false" ht="23.25" hidden="false" customHeight="true" outlineLevel="0" collapsed="false">
      <c r="A222" s="3" t="s">
        <v>186</v>
      </c>
      <c r="B222" s="3" t="s">
        <v>245</v>
      </c>
      <c r="C222" s="3" t="s">
        <v>188</v>
      </c>
      <c r="D222" s="3" t="s">
        <v>22</v>
      </c>
      <c r="E222" s="3" t="s">
        <v>207</v>
      </c>
      <c r="F222" s="3" t="s">
        <v>24</v>
      </c>
      <c r="G222" s="3" t="s">
        <v>13</v>
      </c>
    </row>
    <row r="223" customFormat="false" ht="23.25" hidden="false" customHeight="true" outlineLevel="0" collapsed="false">
      <c r="A223" s="3" t="s">
        <v>186</v>
      </c>
      <c r="B223" s="3" t="s">
        <v>246</v>
      </c>
      <c r="C223" s="3" t="s">
        <v>188</v>
      </c>
      <c r="D223" s="3" t="s">
        <v>22</v>
      </c>
      <c r="E223" s="3" t="s">
        <v>209</v>
      </c>
      <c r="F223" s="3" t="s">
        <v>24</v>
      </c>
      <c r="G223" s="3" t="s">
        <v>13</v>
      </c>
    </row>
    <row r="224" customFormat="false" ht="23.25" hidden="false" customHeight="true" outlineLevel="0" collapsed="false">
      <c r="A224" s="3" t="s">
        <v>186</v>
      </c>
      <c r="B224" s="3" t="s">
        <v>247</v>
      </c>
      <c r="C224" s="3" t="s">
        <v>188</v>
      </c>
      <c r="D224" s="3" t="s">
        <v>22</v>
      </c>
      <c r="E224" s="3" t="s">
        <v>248</v>
      </c>
      <c r="F224" s="3" t="s">
        <v>24</v>
      </c>
      <c r="G224" s="3" t="s">
        <v>13</v>
      </c>
    </row>
    <row r="225" customFormat="false" ht="23.25" hidden="false" customHeight="true" outlineLevel="0" collapsed="false">
      <c r="A225" s="3" t="s">
        <v>186</v>
      </c>
      <c r="B225" s="3" t="s">
        <v>249</v>
      </c>
      <c r="C225" s="3" t="s">
        <v>188</v>
      </c>
      <c r="D225" s="3" t="s">
        <v>22</v>
      </c>
      <c r="E225" s="3" t="s">
        <v>213</v>
      </c>
      <c r="F225" s="3" t="s">
        <v>24</v>
      </c>
      <c r="G225" s="3" t="s">
        <v>13</v>
      </c>
    </row>
    <row r="226" customFormat="false" ht="23.25" hidden="false" customHeight="true" outlineLevel="0" collapsed="false">
      <c r="A226" s="3" t="s">
        <v>186</v>
      </c>
      <c r="B226" s="3" t="s">
        <v>250</v>
      </c>
      <c r="C226" s="3" t="s">
        <v>188</v>
      </c>
      <c r="D226" s="3" t="s">
        <v>22</v>
      </c>
      <c r="E226" s="3" t="s">
        <v>251</v>
      </c>
      <c r="F226" s="3" t="s">
        <v>24</v>
      </c>
      <c r="G226" s="3" t="s">
        <v>13</v>
      </c>
    </row>
    <row r="227" customFormat="false" ht="23.25" hidden="false" customHeight="true" outlineLevel="0" collapsed="false">
      <c r="A227" s="3" t="s">
        <v>186</v>
      </c>
      <c r="B227" s="3" t="s">
        <v>252</v>
      </c>
      <c r="C227" s="3" t="s">
        <v>188</v>
      </c>
      <c r="D227" s="3" t="s">
        <v>22</v>
      </c>
      <c r="E227" s="3" t="s">
        <v>253</v>
      </c>
      <c r="F227" s="3" t="s">
        <v>24</v>
      </c>
      <c r="G227" s="3" t="s">
        <v>13</v>
      </c>
    </row>
    <row r="228" customFormat="false" ht="23.25" hidden="false" customHeight="true" outlineLevel="0" collapsed="false">
      <c r="A228" s="3" t="s">
        <v>186</v>
      </c>
      <c r="B228" s="3" t="s">
        <v>254</v>
      </c>
      <c r="C228" s="3" t="s">
        <v>188</v>
      </c>
      <c r="D228" s="3" t="s">
        <v>22</v>
      </c>
      <c r="E228" s="3" t="s">
        <v>219</v>
      </c>
      <c r="F228" s="3" t="s">
        <v>24</v>
      </c>
      <c r="G228" s="3" t="s">
        <v>13</v>
      </c>
    </row>
    <row r="229" customFormat="false" ht="23.25" hidden="false" customHeight="true" outlineLevel="0" collapsed="false">
      <c r="A229" s="3" t="s">
        <v>186</v>
      </c>
      <c r="B229" s="3" t="s">
        <v>255</v>
      </c>
      <c r="C229" s="3" t="s">
        <v>188</v>
      </c>
      <c r="D229" s="3" t="s">
        <v>22</v>
      </c>
      <c r="E229" s="3" t="s">
        <v>256</v>
      </c>
      <c r="F229" s="3" t="s">
        <v>24</v>
      </c>
      <c r="G229" s="3" t="s">
        <v>13</v>
      </c>
    </row>
    <row r="230" customFormat="false" ht="23.25" hidden="false" customHeight="true" outlineLevel="0" collapsed="false">
      <c r="A230" s="3" t="s">
        <v>186</v>
      </c>
      <c r="B230" s="3" t="s">
        <v>257</v>
      </c>
      <c r="C230" s="3" t="s">
        <v>188</v>
      </c>
      <c r="D230" s="3" t="s">
        <v>22</v>
      </c>
      <c r="E230" s="3" t="s">
        <v>205</v>
      </c>
      <c r="F230" s="3" t="s">
        <v>24</v>
      </c>
      <c r="G230" s="3" t="s">
        <v>13</v>
      </c>
    </row>
    <row r="231" customFormat="false" ht="23.25" hidden="false" customHeight="true" outlineLevel="0" collapsed="false">
      <c r="A231" s="3" t="s">
        <v>186</v>
      </c>
      <c r="B231" s="3" t="s">
        <v>258</v>
      </c>
      <c r="C231" s="3" t="s">
        <v>188</v>
      </c>
      <c r="D231" s="3" t="s">
        <v>22</v>
      </c>
      <c r="E231" s="3" t="s">
        <v>259</v>
      </c>
      <c r="F231" s="3" t="s">
        <v>24</v>
      </c>
      <c r="G231" s="3" t="s">
        <v>13</v>
      </c>
    </row>
    <row r="232" customFormat="false" ht="23.25" hidden="false" customHeight="true" outlineLevel="0" collapsed="false">
      <c r="A232" s="3" t="s">
        <v>186</v>
      </c>
      <c r="B232" s="3" t="s">
        <v>260</v>
      </c>
      <c r="C232" s="3" t="s">
        <v>188</v>
      </c>
      <c r="D232" s="3" t="s">
        <v>22</v>
      </c>
      <c r="E232" s="3" t="s">
        <v>261</v>
      </c>
      <c r="F232" s="3" t="s">
        <v>24</v>
      </c>
      <c r="G232" s="3" t="s">
        <v>13</v>
      </c>
    </row>
    <row r="233" customFormat="false" ht="23.25" hidden="false" customHeight="true" outlineLevel="0" collapsed="false">
      <c r="A233" s="3" t="s">
        <v>186</v>
      </c>
      <c r="B233" s="3" t="s">
        <v>262</v>
      </c>
      <c r="C233" s="3" t="s">
        <v>188</v>
      </c>
      <c r="D233" s="3" t="s">
        <v>22</v>
      </c>
      <c r="E233" s="3" t="s">
        <v>263</v>
      </c>
      <c r="F233" s="3" t="s">
        <v>24</v>
      </c>
      <c r="G233" s="3" t="s">
        <v>13</v>
      </c>
    </row>
    <row r="234" customFormat="false" ht="23.25" hidden="false" customHeight="true" outlineLevel="0" collapsed="false">
      <c r="A234" s="3" t="s">
        <v>186</v>
      </c>
      <c r="B234" s="3" t="s">
        <v>264</v>
      </c>
      <c r="C234" s="3" t="s">
        <v>188</v>
      </c>
      <c r="D234" s="3" t="s">
        <v>22</v>
      </c>
      <c r="E234" s="3" t="s">
        <v>265</v>
      </c>
      <c r="F234" s="3" t="s">
        <v>24</v>
      </c>
      <c r="G234" s="3" t="s">
        <v>13</v>
      </c>
    </row>
    <row r="235" customFormat="false" ht="23.25" hidden="false" customHeight="true" outlineLevel="0" collapsed="false">
      <c r="A235" s="3" t="s">
        <v>186</v>
      </c>
      <c r="B235" s="3" t="s">
        <v>266</v>
      </c>
      <c r="C235" s="3" t="s">
        <v>188</v>
      </c>
      <c r="D235" s="3" t="s">
        <v>22</v>
      </c>
      <c r="E235" s="3" t="s">
        <v>267</v>
      </c>
      <c r="F235" s="3" t="s">
        <v>24</v>
      </c>
      <c r="G235" s="3" t="s">
        <v>13</v>
      </c>
    </row>
    <row r="236" customFormat="false" ht="23.25" hidden="false" customHeight="true" outlineLevel="0" collapsed="false">
      <c r="A236" s="3" t="s">
        <v>186</v>
      </c>
      <c r="B236" s="3" t="s">
        <v>268</v>
      </c>
      <c r="C236" s="3" t="s">
        <v>188</v>
      </c>
      <c r="D236" s="3" t="s">
        <v>22</v>
      </c>
      <c r="E236" s="3" t="s">
        <v>269</v>
      </c>
      <c r="F236" s="3" t="s">
        <v>24</v>
      </c>
      <c r="G236" s="3" t="s">
        <v>13</v>
      </c>
    </row>
    <row r="237" customFormat="false" ht="23.25" hidden="false" customHeight="true" outlineLevel="0" collapsed="false">
      <c r="A237" s="3" t="s">
        <v>186</v>
      </c>
      <c r="B237" s="3" t="s">
        <v>270</v>
      </c>
      <c r="C237" s="3" t="s">
        <v>188</v>
      </c>
      <c r="D237" s="3" t="s">
        <v>22</v>
      </c>
      <c r="E237" s="3" t="s">
        <v>271</v>
      </c>
      <c r="F237" s="3" t="s">
        <v>24</v>
      </c>
      <c r="G237" s="3" t="s">
        <v>13</v>
      </c>
    </row>
    <row r="238" customFormat="false" ht="23.25" hidden="false" customHeight="true" outlineLevel="0" collapsed="false">
      <c r="A238" s="3" t="s">
        <v>186</v>
      </c>
      <c r="B238" s="3" t="s">
        <v>272</v>
      </c>
      <c r="C238" s="3" t="s">
        <v>188</v>
      </c>
      <c r="D238" s="3" t="s">
        <v>22</v>
      </c>
      <c r="E238" s="3" t="s">
        <v>273</v>
      </c>
      <c r="F238" s="3" t="s">
        <v>24</v>
      </c>
      <c r="G238" s="3" t="s">
        <v>13</v>
      </c>
    </row>
    <row r="239" customFormat="false" ht="23.25" hidden="false" customHeight="true" outlineLevel="0" collapsed="false">
      <c r="A239" s="3" t="s">
        <v>186</v>
      </c>
      <c r="B239" s="3" t="s">
        <v>274</v>
      </c>
      <c r="C239" s="3" t="s">
        <v>188</v>
      </c>
      <c r="D239" s="3" t="s">
        <v>22</v>
      </c>
      <c r="E239" s="3" t="s">
        <v>205</v>
      </c>
      <c r="F239" s="3" t="s">
        <v>24</v>
      </c>
      <c r="G239" s="3" t="s">
        <v>13</v>
      </c>
    </row>
    <row r="240" customFormat="false" ht="23.25" hidden="false" customHeight="true" outlineLevel="0" collapsed="false">
      <c r="A240" s="3" t="s">
        <v>186</v>
      </c>
      <c r="B240" s="3" t="s">
        <v>275</v>
      </c>
      <c r="C240" s="3" t="s">
        <v>188</v>
      </c>
      <c r="D240" s="3" t="s">
        <v>22</v>
      </c>
      <c r="E240" s="3" t="s">
        <v>276</v>
      </c>
      <c r="F240" s="3" t="s">
        <v>24</v>
      </c>
      <c r="G240" s="3" t="s">
        <v>13</v>
      </c>
    </row>
    <row r="241" customFormat="false" ht="23.25" hidden="false" customHeight="true" outlineLevel="0" collapsed="false">
      <c r="A241" s="3" t="s">
        <v>186</v>
      </c>
      <c r="B241" s="3" t="s">
        <v>277</v>
      </c>
      <c r="C241" s="3" t="s">
        <v>188</v>
      </c>
      <c r="D241" s="3" t="s">
        <v>22</v>
      </c>
      <c r="E241" s="3" t="s">
        <v>278</v>
      </c>
      <c r="F241" s="3" t="s">
        <v>24</v>
      </c>
      <c r="G241" s="3" t="s">
        <v>13</v>
      </c>
    </row>
    <row r="242" customFormat="false" ht="23.25" hidden="false" customHeight="true" outlineLevel="0" collapsed="false">
      <c r="A242" s="3" t="s">
        <v>186</v>
      </c>
      <c r="B242" s="3" t="s">
        <v>279</v>
      </c>
      <c r="C242" s="3" t="s">
        <v>188</v>
      </c>
      <c r="D242" s="3" t="s">
        <v>22</v>
      </c>
      <c r="E242" s="3" t="s">
        <v>280</v>
      </c>
      <c r="F242" s="3" t="s">
        <v>24</v>
      </c>
      <c r="G242" s="3" t="s">
        <v>13</v>
      </c>
    </row>
    <row r="243" customFormat="false" ht="23.25" hidden="false" customHeight="true" outlineLevel="0" collapsed="false">
      <c r="A243" s="3" t="s">
        <v>186</v>
      </c>
      <c r="B243" s="3" t="s">
        <v>281</v>
      </c>
      <c r="C243" s="3" t="s">
        <v>188</v>
      </c>
      <c r="D243" s="3" t="s">
        <v>22</v>
      </c>
      <c r="E243" s="3" t="s">
        <v>282</v>
      </c>
      <c r="F243" s="3" t="s">
        <v>24</v>
      </c>
      <c r="G243" s="3" t="s">
        <v>13</v>
      </c>
    </row>
    <row r="244" customFormat="false" ht="23.25" hidden="false" customHeight="true" outlineLevel="0" collapsed="false">
      <c r="A244" s="3" t="s">
        <v>186</v>
      </c>
      <c r="B244" s="3" t="s">
        <v>283</v>
      </c>
      <c r="C244" s="3" t="s">
        <v>188</v>
      </c>
      <c r="D244" s="3" t="s">
        <v>22</v>
      </c>
      <c r="E244" s="3" t="s">
        <v>284</v>
      </c>
      <c r="F244" s="3" t="s">
        <v>24</v>
      </c>
      <c r="G244" s="3" t="s">
        <v>13</v>
      </c>
    </row>
    <row r="245" customFormat="false" ht="23.25" hidden="false" customHeight="true" outlineLevel="0" collapsed="false">
      <c r="A245" s="3" t="s">
        <v>186</v>
      </c>
      <c r="B245" s="3" t="s">
        <v>285</v>
      </c>
      <c r="C245" s="3" t="s">
        <v>188</v>
      </c>
      <c r="D245" s="3" t="s">
        <v>22</v>
      </c>
      <c r="E245" s="3" t="s">
        <v>286</v>
      </c>
      <c r="F245" s="3" t="s">
        <v>24</v>
      </c>
      <c r="G245" s="3" t="s">
        <v>13</v>
      </c>
    </row>
    <row r="246" customFormat="false" ht="23.25" hidden="false" customHeight="true" outlineLevel="0" collapsed="false">
      <c r="A246" s="3" t="s">
        <v>186</v>
      </c>
      <c r="B246" s="3" t="s">
        <v>287</v>
      </c>
      <c r="C246" s="3" t="s">
        <v>188</v>
      </c>
      <c r="D246" s="3" t="s">
        <v>22</v>
      </c>
      <c r="E246" s="3" t="s">
        <v>288</v>
      </c>
      <c r="F246" s="3" t="s">
        <v>24</v>
      </c>
      <c r="G246" s="3" t="s">
        <v>13</v>
      </c>
    </row>
    <row r="247" customFormat="false" ht="23.25" hidden="false" customHeight="true" outlineLevel="0" collapsed="false">
      <c r="A247" s="3" t="s">
        <v>186</v>
      </c>
      <c r="B247" s="3" t="s">
        <v>289</v>
      </c>
      <c r="C247" s="3" t="s">
        <v>188</v>
      </c>
      <c r="D247" s="3" t="s">
        <v>22</v>
      </c>
      <c r="E247" s="3" t="s">
        <v>290</v>
      </c>
      <c r="F247" s="3" t="s">
        <v>24</v>
      </c>
      <c r="G247" s="3" t="s">
        <v>13</v>
      </c>
    </row>
    <row r="248" customFormat="false" ht="23.25" hidden="false" customHeight="true" outlineLevel="0" collapsed="false">
      <c r="A248" s="3" t="s">
        <v>186</v>
      </c>
      <c r="B248" s="3" t="s">
        <v>291</v>
      </c>
      <c r="C248" s="3" t="s">
        <v>188</v>
      </c>
      <c r="D248" s="3" t="s">
        <v>22</v>
      </c>
      <c r="E248" s="3" t="s">
        <v>205</v>
      </c>
      <c r="F248" s="3" t="s">
        <v>24</v>
      </c>
      <c r="G248" s="3" t="s">
        <v>13</v>
      </c>
    </row>
    <row r="249" customFormat="false" ht="23.25" hidden="false" customHeight="true" outlineLevel="0" collapsed="false">
      <c r="A249" s="3" t="s">
        <v>186</v>
      </c>
      <c r="B249" s="3" t="s">
        <v>292</v>
      </c>
      <c r="C249" s="3" t="s">
        <v>188</v>
      </c>
      <c r="D249" s="3" t="s">
        <v>22</v>
      </c>
      <c r="E249" s="3" t="s">
        <v>276</v>
      </c>
      <c r="F249" s="3" t="s">
        <v>24</v>
      </c>
      <c r="G249" s="3" t="s">
        <v>13</v>
      </c>
    </row>
    <row r="250" customFormat="false" ht="23.25" hidden="false" customHeight="true" outlineLevel="0" collapsed="false">
      <c r="A250" s="3" t="s">
        <v>186</v>
      </c>
      <c r="B250" s="3" t="s">
        <v>293</v>
      </c>
      <c r="C250" s="3" t="s">
        <v>188</v>
      </c>
      <c r="D250" s="3" t="s">
        <v>22</v>
      </c>
      <c r="E250" s="3" t="s">
        <v>278</v>
      </c>
      <c r="F250" s="3" t="s">
        <v>24</v>
      </c>
      <c r="G250" s="3" t="s">
        <v>13</v>
      </c>
    </row>
    <row r="251" customFormat="false" ht="23.25" hidden="false" customHeight="true" outlineLevel="0" collapsed="false">
      <c r="A251" s="3" t="s">
        <v>186</v>
      </c>
      <c r="B251" s="3" t="s">
        <v>294</v>
      </c>
      <c r="C251" s="3" t="s">
        <v>188</v>
      </c>
      <c r="D251" s="3" t="s">
        <v>22</v>
      </c>
      <c r="E251" s="3" t="s">
        <v>295</v>
      </c>
      <c r="F251" s="3" t="s">
        <v>24</v>
      </c>
      <c r="G251" s="3" t="s">
        <v>13</v>
      </c>
    </row>
    <row r="252" customFormat="false" ht="23.25" hidden="false" customHeight="true" outlineLevel="0" collapsed="false">
      <c r="A252" s="3" t="s">
        <v>186</v>
      </c>
      <c r="B252" s="3" t="s">
        <v>296</v>
      </c>
      <c r="C252" s="3" t="s">
        <v>188</v>
      </c>
      <c r="D252" s="3" t="s">
        <v>22</v>
      </c>
      <c r="E252" s="3" t="s">
        <v>282</v>
      </c>
      <c r="F252" s="3" t="s">
        <v>24</v>
      </c>
      <c r="G252" s="3" t="s">
        <v>13</v>
      </c>
    </row>
    <row r="253" customFormat="false" ht="23.25" hidden="false" customHeight="true" outlineLevel="0" collapsed="false">
      <c r="A253" s="3" t="s">
        <v>186</v>
      </c>
      <c r="B253" s="3" t="s">
        <v>297</v>
      </c>
      <c r="C253" s="3" t="s">
        <v>188</v>
      </c>
      <c r="D253" s="3" t="s">
        <v>22</v>
      </c>
      <c r="E253" s="3" t="s">
        <v>284</v>
      </c>
      <c r="F253" s="3" t="s">
        <v>24</v>
      </c>
      <c r="G253" s="3" t="s">
        <v>13</v>
      </c>
    </row>
    <row r="254" customFormat="false" ht="23.25" hidden="false" customHeight="true" outlineLevel="0" collapsed="false">
      <c r="A254" s="3" t="s">
        <v>186</v>
      </c>
      <c r="B254" s="3" t="s">
        <v>298</v>
      </c>
      <c r="C254" s="3" t="s">
        <v>188</v>
      </c>
      <c r="D254" s="3" t="s">
        <v>22</v>
      </c>
      <c r="E254" s="3" t="s">
        <v>286</v>
      </c>
      <c r="F254" s="3" t="s">
        <v>24</v>
      </c>
      <c r="G254" s="3" t="s">
        <v>13</v>
      </c>
    </row>
    <row r="255" customFormat="false" ht="23.25" hidden="false" customHeight="true" outlineLevel="0" collapsed="false">
      <c r="A255" s="3" t="s">
        <v>186</v>
      </c>
      <c r="B255" s="3" t="s">
        <v>299</v>
      </c>
      <c r="C255" s="3" t="s">
        <v>188</v>
      </c>
      <c r="D255" s="3" t="s">
        <v>22</v>
      </c>
      <c r="E255" s="3" t="s">
        <v>300</v>
      </c>
      <c r="F255" s="3" t="s">
        <v>24</v>
      </c>
      <c r="G255" s="3" t="s">
        <v>13</v>
      </c>
    </row>
    <row r="256" customFormat="false" ht="23.25" hidden="false" customHeight="true" outlineLevel="0" collapsed="false">
      <c r="A256" s="3" t="s">
        <v>186</v>
      </c>
      <c r="B256" s="3" t="s">
        <v>301</v>
      </c>
      <c r="C256" s="3" t="s">
        <v>188</v>
      </c>
      <c r="D256" s="3" t="s">
        <v>22</v>
      </c>
      <c r="E256" s="3" t="s">
        <v>302</v>
      </c>
      <c r="F256" s="3" t="s">
        <v>24</v>
      </c>
      <c r="G256" s="3" t="s">
        <v>13</v>
      </c>
    </row>
    <row r="257" customFormat="false" ht="23.25" hidden="false" customHeight="true" outlineLevel="0" collapsed="false">
      <c r="A257" s="3" t="s">
        <v>186</v>
      </c>
      <c r="B257" s="3" t="s">
        <v>303</v>
      </c>
      <c r="C257" s="3" t="s">
        <v>188</v>
      </c>
      <c r="D257" s="3" t="s">
        <v>22</v>
      </c>
      <c r="E257" s="3" t="s">
        <v>205</v>
      </c>
      <c r="F257" s="3" t="s">
        <v>24</v>
      </c>
      <c r="G257" s="3" t="s">
        <v>13</v>
      </c>
    </row>
    <row r="258" customFormat="false" ht="23.25" hidden="false" customHeight="true" outlineLevel="0" collapsed="false">
      <c r="A258" s="3" t="s">
        <v>186</v>
      </c>
      <c r="B258" s="3" t="s">
        <v>304</v>
      </c>
      <c r="C258" s="3" t="s">
        <v>188</v>
      </c>
      <c r="D258" s="3" t="s">
        <v>22</v>
      </c>
      <c r="E258" s="3" t="s">
        <v>259</v>
      </c>
      <c r="F258" s="3" t="s">
        <v>24</v>
      </c>
      <c r="G258" s="3" t="s">
        <v>13</v>
      </c>
    </row>
    <row r="259" customFormat="false" ht="23.25" hidden="false" customHeight="true" outlineLevel="0" collapsed="false">
      <c r="A259" s="3" t="s">
        <v>186</v>
      </c>
      <c r="B259" s="3" t="s">
        <v>305</v>
      </c>
      <c r="C259" s="3" t="s">
        <v>188</v>
      </c>
      <c r="D259" s="3" t="s">
        <v>22</v>
      </c>
      <c r="E259" s="3" t="s">
        <v>261</v>
      </c>
      <c r="F259" s="3" t="s">
        <v>24</v>
      </c>
      <c r="G259" s="3" t="s">
        <v>13</v>
      </c>
    </row>
    <row r="260" customFormat="false" ht="23.25" hidden="false" customHeight="true" outlineLevel="0" collapsed="false">
      <c r="A260" s="3" t="s">
        <v>186</v>
      </c>
      <c r="B260" s="3" t="s">
        <v>306</v>
      </c>
      <c r="C260" s="3" t="s">
        <v>188</v>
      </c>
      <c r="D260" s="3" t="s">
        <v>22</v>
      </c>
      <c r="E260" s="3" t="s">
        <v>307</v>
      </c>
      <c r="F260" s="3" t="s">
        <v>24</v>
      </c>
      <c r="G260" s="3" t="s">
        <v>13</v>
      </c>
    </row>
    <row r="261" customFormat="false" ht="23.25" hidden="false" customHeight="true" outlineLevel="0" collapsed="false">
      <c r="A261" s="3" t="s">
        <v>186</v>
      </c>
      <c r="B261" s="3" t="s">
        <v>308</v>
      </c>
      <c r="C261" s="3" t="s">
        <v>188</v>
      </c>
      <c r="D261" s="3" t="s">
        <v>22</v>
      </c>
      <c r="E261" s="3" t="s">
        <v>265</v>
      </c>
      <c r="F261" s="3" t="s">
        <v>24</v>
      </c>
      <c r="G261" s="3" t="s">
        <v>13</v>
      </c>
    </row>
    <row r="262" customFormat="false" ht="23.25" hidden="false" customHeight="true" outlineLevel="0" collapsed="false">
      <c r="A262" s="3" t="s">
        <v>186</v>
      </c>
      <c r="B262" s="3" t="s">
        <v>309</v>
      </c>
      <c r="C262" s="3" t="s">
        <v>188</v>
      </c>
      <c r="D262" s="3" t="s">
        <v>22</v>
      </c>
      <c r="E262" s="3" t="s">
        <v>310</v>
      </c>
      <c r="F262" s="3" t="s">
        <v>24</v>
      </c>
      <c r="G262" s="3" t="s">
        <v>13</v>
      </c>
    </row>
    <row r="263" customFormat="false" ht="23.25" hidden="false" customHeight="true" outlineLevel="0" collapsed="false">
      <c r="A263" s="3" t="s">
        <v>186</v>
      </c>
      <c r="B263" s="3" t="s">
        <v>311</v>
      </c>
      <c r="C263" s="3" t="s">
        <v>188</v>
      </c>
      <c r="D263" s="3" t="s">
        <v>22</v>
      </c>
      <c r="E263" s="3" t="s">
        <v>312</v>
      </c>
      <c r="F263" s="3" t="s">
        <v>24</v>
      </c>
      <c r="G263" s="3" t="s">
        <v>13</v>
      </c>
    </row>
    <row r="264" customFormat="false" ht="23.25" hidden="false" customHeight="true" outlineLevel="0" collapsed="false">
      <c r="A264" s="3" t="s">
        <v>186</v>
      </c>
      <c r="B264" s="3" t="s">
        <v>313</v>
      </c>
      <c r="C264" s="3" t="s">
        <v>188</v>
      </c>
      <c r="D264" s="3" t="s">
        <v>22</v>
      </c>
      <c r="E264" s="3" t="s">
        <v>314</v>
      </c>
      <c r="F264" s="3" t="s">
        <v>24</v>
      </c>
      <c r="G264" s="3" t="s">
        <v>13</v>
      </c>
    </row>
    <row r="265" customFormat="false" ht="23.25" hidden="false" customHeight="true" outlineLevel="0" collapsed="false">
      <c r="A265" s="3" t="s">
        <v>186</v>
      </c>
      <c r="B265" s="3" t="s">
        <v>315</v>
      </c>
      <c r="C265" s="3" t="s">
        <v>188</v>
      </c>
      <c r="D265" s="3" t="s">
        <v>22</v>
      </c>
      <c r="E265" s="3" t="s">
        <v>316</v>
      </c>
      <c r="F265" s="3" t="s">
        <v>24</v>
      </c>
      <c r="G265" s="3" t="s">
        <v>13</v>
      </c>
    </row>
    <row r="266" customFormat="false" ht="23.25" hidden="false" customHeight="true" outlineLevel="0" collapsed="false">
      <c r="A266" s="3" t="s">
        <v>186</v>
      </c>
      <c r="B266" s="3" t="s">
        <v>317</v>
      </c>
      <c r="C266" s="3" t="s">
        <v>188</v>
      </c>
      <c r="D266" s="3" t="s">
        <v>22</v>
      </c>
      <c r="E266" s="3" t="s">
        <v>205</v>
      </c>
      <c r="F266" s="3" t="s">
        <v>24</v>
      </c>
      <c r="G266" s="3" t="s">
        <v>13</v>
      </c>
    </row>
    <row r="267" customFormat="false" ht="23.25" hidden="false" customHeight="true" outlineLevel="0" collapsed="false">
      <c r="A267" s="3" t="s">
        <v>186</v>
      </c>
      <c r="B267" s="3" t="s">
        <v>318</v>
      </c>
      <c r="C267" s="3" t="s">
        <v>188</v>
      </c>
      <c r="D267" s="3" t="s">
        <v>22</v>
      </c>
      <c r="E267" s="3" t="s">
        <v>276</v>
      </c>
      <c r="F267" s="3" t="s">
        <v>24</v>
      </c>
      <c r="G267" s="3" t="s">
        <v>13</v>
      </c>
    </row>
    <row r="268" customFormat="false" ht="23.25" hidden="false" customHeight="true" outlineLevel="0" collapsed="false">
      <c r="A268" s="3" t="s">
        <v>186</v>
      </c>
      <c r="B268" s="3" t="s">
        <v>319</v>
      </c>
      <c r="C268" s="3" t="s">
        <v>188</v>
      </c>
      <c r="D268" s="3" t="s">
        <v>22</v>
      </c>
      <c r="E268" s="3" t="s">
        <v>278</v>
      </c>
      <c r="F268" s="3" t="s">
        <v>24</v>
      </c>
      <c r="G268" s="3" t="s">
        <v>13</v>
      </c>
    </row>
    <row r="269" customFormat="false" ht="23.25" hidden="false" customHeight="true" outlineLevel="0" collapsed="false">
      <c r="A269" s="3" t="s">
        <v>186</v>
      </c>
      <c r="B269" s="3" t="s">
        <v>320</v>
      </c>
      <c r="C269" s="3" t="s">
        <v>188</v>
      </c>
      <c r="D269" s="3" t="s">
        <v>22</v>
      </c>
      <c r="E269" s="3" t="s">
        <v>321</v>
      </c>
      <c r="F269" s="3" t="s">
        <v>24</v>
      </c>
      <c r="G269" s="3" t="s">
        <v>13</v>
      </c>
    </row>
    <row r="270" customFormat="false" ht="23.25" hidden="false" customHeight="true" outlineLevel="0" collapsed="false">
      <c r="A270" s="3" t="s">
        <v>186</v>
      </c>
      <c r="B270" s="3" t="s">
        <v>322</v>
      </c>
      <c r="C270" s="3" t="s">
        <v>188</v>
      </c>
      <c r="D270" s="3" t="s">
        <v>22</v>
      </c>
      <c r="E270" s="3" t="s">
        <v>282</v>
      </c>
      <c r="F270" s="3" t="s">
        <v>24</v>
      </c>
      <c r="G270" s="3" t="s">
        <v>13</v>
      </c>
    </row>
    <row r="271" customFormat="false" ht="23.25" hidden="false" customHeight="true" outlineLevel="0" collapsed="false">
      <c r="A271" s="3" t="s">
        <v>186</v>
      </c>
      <c r="B271" s="3" t="s">
        <v>323</v>
      </c>
      <c r="C271" s="3" t="s">
        <v>188</v>
      </c>
      <c r="D271" s="3" t="s">
        <v>22</v>
      </c>
      <c r="E271" s="3" t="s">
        <v>284</v>
      </c>
      <c r="F271" s="3" t="s">
        <v>24</v>
      </c>
      <c r="G271" s="3" t="s">
        <v>13</v>
      </c>
    </row>
    <row r="272" customFormat="false" ht="23.25" hidden="false" customHeight="true" outlineLevel="0" collapsed="false">
      <c r="A272" s="3" t="s">
        <v>186</v>
      </c>
      <c r="B272" s="3" t="s">
        <v>324</v>
      </c>
      <c r="C272" s="3" t="s">
        <v>188</v>
      </c>
      <c r="D272" s="3" t="s">
        <v>22</v>
      </c>
      <c r="E272" s="3" t="s">
        <v>325</v>
      </c>
      <c r="F272" s="3" t="s">
        <v>24</v>
      </c>
      <c r="G272" s="3" t="s">
        <v>13</v>
      </c>
    </row>
    <row r="273" customFormat="false" ht="23.25" hidden="false" customHeight="true" outlineLevel="0" collapsed="false">
      <c r="A273" s="3" t="s">
        <v>186</v>
      </c>
      <c r="B273" s="3" t="s">
        <v>326</v>
      </c>
      <c r="C273" s="3" t="s">
        <v>188</v>
      </c>
      <c r="D273" s="3" t="s">
        <v>22</v>
      </c>
      <c r="E273" s="3" t="s">
        <v>314</v>
      </c>
      <c r="F273" s="3" t="s">
        <v>24</v>
      </c>
      <c r="G273" s="3" t="s">
        <v>13</v>
      </c>
    </row>
    <row r="274" customFormat="false" ht="23.25" hidden="false" customHeight="true" outlineLevel="0" collapsed="false">
      <c r="A274" s="3" t="s">
        <v>186</v>
      </c>
      <c r="B274" s="3" t="s">
        <v>327</v>
      </c>
      <c r="C274" s="3" t="s">
        <v>188</v>
      </c>
      <c r="D274" s="3" t="s">
        <v>22</v>
      </c>
      <c r="E274" s="3" t="s">
        <v>328</v>
      </c>
      <c r="F274" s="3" t="s">
        <v>24</v>
      </c>
      <c r="G274" s="3" t="s">
        <v>13</v>
      </c>
    </row>
    <row r="275" customFormat="false" ht="23.25" hidden="false" customHeight="true" outlineLevel="0" collapsed="false">
      <c r="A275" s="3" t="s">
        <v>186</v>
      </c>
      <c r="B275" s="3" t="s">
        <v>329</v>
      </c>
      <c r="C275" s="3" t="s">
        <v>188</v>
      </c>
      <c r="D275" s="3" t="s">
        <v>22</v>
      </c>
      <c r="E275" s="3" t="s">
        <v>205</v>
      </c>
      <c r="F275" s="3" t="s">
        <v>24</v>
      </c>
      <c r="G275" s="3" t="s">
        <v>13</v>
      </c>
    </row>
    <row r="276" customFormat="false" ht="45.75" hidden="false" customHeight="true" outlineLevel="0" collapsed="false">
      <c r="A276" s="3" t="s">
        <v>186</v>
      </c>
      <c r="B276" s="3" t="s">
        <v>330</v>
      </c>
      <c r="C276" s="3" t="s">
        <v>188</v>
      </c>
      <c r="D276" s="3" t="s">
        <v>22</v>
      </c>
      <c r="E276" s="3" t="s">
        <v>168</v>
      </c>
      <c r="F276" s="3" t="s">
        <v>24</v>
      </c>
      <c r="G276" s="3" t="s">
        <v>13</v>
      </c>
    </row>
    <row r="277" customFormat="false" ht="23.25" hidden="false" customHeight="true" outlineLevel="0" collapsed="false">
      <c r="A277" s="3" t="s">
        <v>331</v>
      </c>
      <c r="B277" s="3" t="s">
        <v>332</v>
      </c>
      <c r="C277" s="3" t="s">
        <v>333</v>
      </c>
      <c r="D277" s="3" t="s">
        <v>22</v>
      </c>
      <c r="E277" s="3" t="s">
        <v>334</v>
      </c>
      <c r="F277" s="3" t="s">
        <v>24</v>
      </c>
      <c r="G277" s="3" t="s">
        <v>13</v>
      </c>
    </row>
    <row r="278" customFormat="false" ht="23.25" hidden="false" customHeight="true" outlineLevel="0" collapsed="false">
      <c r="A278" s="3" t="s">
        <v>331</v>
      </c>
      <c r="B278" s="3" t="s">
        <v>335</v>
      </c>
      <c r="C278" s="3" t="s">
        <v>333</v>
      </c>
      <c r="D278" s="3" t="s">
        <v>22</v>
      </c>
      <c r="E278" s="3" t="s">
        <v>336</v>
      </c>
      <c r="F278" s="3" t="s">
        <v>24</v>
      </c>
      <c r="G278" s="3" t="s">
        <v>13</v>
      </c>
    </row>
    <row r="279" customFormat="false" ht="23.25" hidden="false" customHeight="true" outlineLevel="0" collapsed="false">
      <c r="A279" s="3" t="s">
        <v>331</v>
      </c>
      <c r="B279" s="3" t="s">
        <v>337</v>
      </c>
      <c r="C279" s="3" t="s">
        <v>333</v>
      </c>
      <c r="D279" s="3" t="s">
        <v>22</v>
      </c>
      <c r="E279" s="3" t="s">
        <v>338</v>
      </c>
      <c r="F279" s="3" t="s">
        <v>24</v>
      </c>
      <c r="G279" s="3" t="s">
        <v>13</v>
      </c>
    </row>
    <row r="280" customFormat="false" ht="15" hidden="false" customHeight="true" outlineLevel="0" collapsed="false">
      <c r="A280" s="3" t="s">
        <v>331</v>
      </c>
      <c r="B280" s="3" t="s">
        <v>339</v>
      </c>
      <c r="C280" s="3" t="s">
        <v>333</v>
      </c>
      <c r="D280" s="3" t="s">
        <v>22</v>
      </c>
      <c r="E280" s="3" t="s">
        <v>340</v>
      </c>
      <c r="F280" s="3" t="s">
        <v>24</v>
      </c>
      <c r="G280" s="3" t="s">
        <v>13</v>
      </c>
    </row>
    <row r="281" customFormat="false" ht="23.25" hidden="false" customHeight="true" outlineLevel="0" collapsed="false">
      <c r="A281" s="3" t="s">
        <v>331</v>
      </c>
      <c r="B281" s="3" t="s">
        <v>341</v>
      </c>
      <c r="C281" s="3" t="s">
        <v>333</v>
      </c>
      <c r="D281" s="3" t="s">
        <v>22</v>
      </c>
      <c r="E281" s="3" t="s">
        <v>342</v>
      </c>
      <c r="F281" s="3" t="s">
        <v>24</v>
      </c>
      <c r="G281" s="3" t="s">
        <v>13</v>
      </c>
    </row>
    <row r="282" customFormat="false" ht="15" hidden="false" customHeight="true" outlineLevel="0" collapsed="false">
      <c r="A282" s="3" t="s">
        <v>331</v>
      </c>
      <c r="B282" s="3" t="s">
        <v>343</v>
      </c>
      <c r="C282" s="3" t="s">
        <v>333</v>
      </c>
      <c r="D282" s="3" t="s">
        <v>22</v>
      </c>
      <c r="E282" s="3" t="s">
        <v>344</v>
      </c>
      <c r="F282" s="3" t="s">
        <v>24</v>
      </c>
      <c r="G282" s="3" t="s">
        <v>13</v>
      </c>
    </row>
    <row r="283" customFormat="false" ht="15" hidden="false" customHeight="true" outlineLevel="0" collapsed="false">
      <c r="A283" s="3" t="s">
        <v>331</v>
      </c>
      <c r="B283" s="3" t="s">
        <v>345</v>
      </c>
      <c r="C283" s="3" t="s">
        <v>333</v>
      </c>
      <c r="D283" s="3" t="s">
        <v>22</v>
      </c>
      <c r="E283" s="3" t="s">
        <v>346</v>
      </c>
      <c r="F283" s="3" t="s">
        <v>24</v>
      </c>
      <c r="G283" s="3" t="s">
        <v>13</v>
      </c>
    </row>
    <row r="284" customFormat="false" ht="23.25" hidden="false" customHeight="true" outlineLevel="0" collapsed="false">
      <c r="A284" s="3" t="s">
        <v>331</v>
      </c>
      <c r="B284" s="3" t="s">
        <v>347</v>
      </c>
      <c r="C284" s="3" t="s">
        <v>333</v>
      </c>
      <c r="D284" s="3" t="s">
        <v>22</v>
      </c>
      <c r="E284" s="3" t="s">
        <v>348</v>
      </c>
      <c r="F284" s="3" t="s">
        <v>24</v>
      </c>
      <c r="G284" s="3" t="s">
        <v>13</v>
      </c>
    </row>
    <row r="285" customFormat="false" ht="23.25" hidden="false" customHeight="true" outlineLevel="0" collapsed="false">
      <c r="A285" s="3" t="s">
        <v>331</v>
      </c>
      <c r="B285" s="3" t="s">
        <v>349</v>
      </c>
      <c r="C285" s="3" t="s">
        <v>333</v>
      </c>
      <c r="D285" s="3" t="s">
        <v>22</v>
      </c>
      <c r="E285" s="3" t="s">
        <v>350</v>
      </c>
      <c r="F285" s="3" t="s">
        <v>24</v>
      </c>
      <c r="G285" s="3" t="s">
        <v>13</v>
      </c>
    </row>
    <row r="286" customFormat="false" ht="23.25" hidden="false" customHeight="true" outlineLevel="0" collapsed="false">
      <c r="A286" s="3" t="s">
        <v>331</v>
      </c>
      <c r="B286" s="3" t="s">
        <v>351</v>
      </c>
      <c r="C286" s="3" t="s">
        <v>333</v>
      </c>
      <c r="D286" s="3" t="s">
        <v>22</v>
      </c>
      <c r="E286" s="3" t="s">
        <v>352</v>
      </c>
      <c r="F286" s="3" t="s">
        <v>24</v>
      </c>
      <c r="G286" s="3" t="s">
        <v>13</v>
      </c>
    </row>
    <row r="287" customFormat="false" ht="23.25" hidden="false" customHeight="true" outlineLevel="0" collapsed="false">
      <c r="A287" s="3" t="s">
        <v>331</v>
      </c>
      <c r="B287" s="3" t="s">
        <v>353</v>
      </c>
      <c r="C287" s="3" t="s">
        <v>333</v>
      </c>
      <c r="D287" s="3" t="s">
        <v>22</v>
      </c>
      <c r="E287" s="3" t="s">
        <v>354</v>
      </c>
      <c r="F287" s="3" t="s">
        <v>24</v>
      </c>
      <c r="G287" s="3" t="s">
        <v>13</v>
      </c>
    </row>
    <row r="288" customFormat="false" ht="15" hidden="false" customHeight="true" outlineLevel="0" collapsed="false">
      <c r="A288" s="3" t="s">
        <v>331</v>
      </c>
      <c r="B288" s="3" t="s">
        <v>355</v>
      </c>
      <c r="C288" s="3" t="s">
        <v>333</v>
      </c>
      <c r="D288" s="3" t="s">
        <v>22</v>
      </c>
      <c r="E288" s="3" t="s">
        <v>356</v>
      </c>
      <c r="F288" s="3" t="s">
        <v>24</v>
      </c>
      <c r="G288" s="3" t="s">
        <v>13</v>
      </c>
    </row>
    <row r="289" customFormat="false" ht="23.25" hidden="false" customHeight="true" outlineLevel="0" collapsed="false">
      <c r="A289" s="3" t="s">
        <v>331</v>
      </c>
      <c r="B289" s="3" t="s">
        <v>357</v>
      </c>
      <c r="C289" s="3" t="s">
        <v>333</v>
      </c>
      <c r="D289" s="3" t="s">
        <v>22</v>
      </c>
      <c r="E289" s="3" t="s">
        <v>358</v>
      </c>
      <c r="F289" s="3" t="s">
        <v>24</v>
      </c>
      <c r="G289" s="3" t="s">
        <v>13</v>
      </c>
    </row>
    <row r="290" customFormat="false" ht="15" hidden="false" customHeight="true" outlineLevel="0" collapsed="false">
      <c r="A290" s="3" t="s">
        <v>331</v>
      </c>
      <c r="B290" s="3" t="s">
        <v>359</v>
      </c>
      <c r="C290" s="3" t="s">
        <v>333</v>
      </c>
      <c r="D290" s="3" t="s">
        <v>22</v>
      </c>
      <c r="E290" s="3" t="s">
        <v>360</v>
      </c>
      <c r="F290" s="3" t="s">
        <v>24</v>
      </c>
      <c r="G290" s="3" t="s">
        <v>13</v>
      </c>
    </row>
    <row r="291" customFormat="false" ht="15" hidden="false" customHeight="true" outlineLevel="0" collapsed="false">
      <c r="A291" s="3" t="s">
        <v>331</v>
      </c>
      <c r="B291" s="3" t="s">
        <v>361</v>
      </c>
      <c r="C291" s="3" t="s">
        <v>333</v>
      </c>
      <c r="D291" s="3" t="s">
        <v>22</v>
      </c>
      <c r="E291" s="3" t="s">
        <v>362</v>
      </c>
      <c r="F291" s="3" t="s">
        <v>24</v>
      </c>
      <c r="G291" s="3" t="s">
        <v>13</v>
      </c>
    </row>
    <row r="292" customFormat="false" ht="23.25" hidden="false" customHeight="true" outlineLevel="0" collapsed="false">
      <c r="A292" s="3" t="s">
        <v>331</v>
      </c>
      <c r="B292" s="3" t="s">
        <v>363</v>
      </c>
      <c r="C292" s="3" t="s">
        <v>333</v>
      </c>
      <c r="D292" s="3" t="s">
        <v>22</v>
      </c>
      <c r="E292" s="3" t="s">
        <v>364</v>
      </c>
      <c r="F292" s="3" t="s">
        <v>24</v>
      </c>
      <c r="G292" s="3" t="s">
        <v>13</v>
      </c>
    </row>
    <row r="293" customFormat="false" ht="23.25" hidden="false" customHeight="true" outlineLevel="0" collapsed="false">
      <c r="A293" s="3" t="s">
        <v>331</v>
      </c>
      <c r="B293" s="3" t="s">
        <v>365</v>
      </c>
      <c r="C293" s="3" t="s">
        <v>333</v>
      </c>
      <c r="D293" s="3" t="s">
        <v>22</v>
      </c>
      <c r="E293" s="3" t="s">
        <v>366</v>
      </c>
      <c r="F293" s="3" t="s">
        <v>24</v>
      </c>
      <c r="G293" s="3" t="s">
        <v>13</v>
      </c>
    </row>
    <row r="294" customFormat="false" ht="23.25" hidden="false" customHeight="true" outlineLevel="0" collapsed="false">
      <c r="A294" s="3" t="s">
        <v>331</v>
      </c>
      <c r="B294" s="3" t="s">
        <v>367</v>
      </c>
      <c r="C294" s="3" t="s">
        <v>333</v>
      </c>
      <c r="D294" s="3" t="s">
        <v>22</v>
      </c>
      <c r="E294" s="3" t="s">
        <v>368</v>
      </c>
      <c r="F294" s="3" t="s">
        <v>24</v>
      </c>
      <c r="G294" s="3" t="s">
        <v>13</v>
      </c>
    </row>
    <row r="295" customFormat="false" ht="23.25" hidden="false" customHeight="true" outlineLevel="0" collapsed="false">
      <c r="A295" s="3" t="s">
        <v>331</v>
      </c>
      <c r="B295" s="3" t="s">
        <v>369</v>
      </c>
      <c r="C295" s="3" t="s">
        <v>333</v>
      </c>
      <c r="D295" s="3" t="s">
        <v>22</v>
      </c>
      <c r="E295" s="3" t="s">
        <v>370</v>
      </c>
      <c r="F295" s="3" t="s">
        <v>24</v>
      </c>
      <c r="G295" s="3" t="s">
        <v>13</v>
      </c>
    </row>
    <row r="296" customFormat="false" ht="15" hidden="false" customHeight="true" outlineLevel="0" collapsed="false">
      <c r="A296" s="3" t="s">
        <v>331</v>
      </c>
      <c r="B296" s="3" t="s">
        <v>371</v>
      </c>
      <c r="C296" s="3" t="s">
        <v>333</v>
      </c>
      <c r="D296" s="3" t="s">
        <v>22</v>
      </c>
      <c r="E296" s="3" t="s">
        <v>372</v>
      </c>
      <c r="F296" s="3" t="s">
        <v>24</v>
      </c>
      <c r="G296" s="3" t="s">
        <v>13</v>
      </c>
    </row>
    <row r="297" customFormat="false" ht="23.25" hidden="false" customHeight="true" outlineLevel="0" collapsed="false">
      <c r="A297" s="3" t="s">
        <v>331</v>
      </c>
      <c r="B297" s="3" t="s">
        <v>373</v>
      </c>
      <c r="C297" s="3" t="s">
        <v>333</v>
      </c>
      <c r="D297" s="3" t="s">
        <v>22</v>
      </c>
      <c r="E297" s="3" t="s">
        <v>374</v>
      </c>
      <c r="F297" s="3" t="s">
        <v>24</v>
      </c>
      <c r="G297" s="3" t="s">
        <v>13</v>
      </c>
    </row>
    <row r="298" customFormat="false" ht="15" hidden="false" customHeight="true" outlineLevel="0" collapsed="false">
      <c r="A298" s="3" t="s">
        <v>331</v>
      </c>
      <c r="B298" s="3" t="s">
        <v>375</v>
      </c>
      <c r="C298" s="3" t="s">
        <v>333</v>
      </c>
      <c r="D298" s="3" t="s">
        <v>22</v>
      </c>
      <c r="E298" s="3" t="s">
        <v>376</v>
      </c>
      <c r="F298" s="3" t="s">
        <v>24</v>
      </c>
      <c r="G298" s="3" t="s">
        <v>13</v>
      </c>
    </row>
    <row r="299" customFormat="false" ht="15" hidden="false" customHeight="true" outlineLevel="0" collapsed="false">
      <c r="A299" s="3" t="s">
        <v>331</v>
      </c>
      <c r="B299" s="3" t="s">
        <v>377</v>
      </c>
      <c r="C299" s="3" t="s">
        <v>333</v>
      </c>
      <c r="D299" s="3" t="s">
        <v>22</v>
      </c>
      <c r="E299" s="3" t="s">
        <v>378</v>
      </c>
      <c r="F299" s="3" t="s">
        <v>24</v>
      </c>
      <c r="G299" s="3" t="s">
        <v>13</v>
      </c>
    </row>
    <row r="300" customFormat="false" ht="23.25" hidden="false" customHeight="true" outlineLevel="0" collapsed="false">
      <c r="A300" s="3" t="s">
        <v>331</v>
      </c>
      <c r="B300" s="3" t="s">
        <v>379</v>
      </c>
      <c r="C300" s="3" t="s">
        <v>333</v>
      </c>
      <c r="D300" s="3" t="s">
        <v>22</v>
      </c>
      <c r="E300" s="3" t="s">
        <v>380</v>
      </c>
      <c r="F300" s="3" t="s">
        <v>24</v>
      </c>
      <c r="G300" s="3" t="s">
        <v>13</v>
      </c>
    </row>
    <row r="301" customFormat="false" ht="23.25" hidden="false" customHeight="true" outlineLevel="0" collapsed="false">
      <c r="A301" s="3" t="s">
        <v>331</v>
      </c>
      <c r="B301" s="3" t="s">
        <v>381</v>
      </c>
      <c r="C301" s="3" t="s">
        <v>333</v>
      </c>
      <c r="D301" s="3" t="s">
        <v>22</v>
      </c>
      <c r="E301" s="3" t="s">
        <v>382</v>
      </c>
      <c r="F301" s="3" t="s">
        <v>24</v>
      </c>
      <c r="G301" s="3" t="s">
        <v>13</v>
      </c>
    </row>
    <row r="302" customFormat="false" ht="23.25" hidden="false" customHeight="true" outlineLevel="0" collapsed="false">
      <c r="A302" s="3" t="s">
        <v>331</v>
      </c>
      <c r="B302" s="3" t="s">
        <v>383</v>
      </c>
      <c r="C302" s="3" t="s">
        <v>333</v>
      </c>
      <c r="D302" s="3" t="s">
        <v>22</v>
      </c>
      <c r="E302" s="3" t="s">
        <v>384</v>
      </c>
      <c r="F302" s="3" t="s">
        <v>24</v>
      </c>
      <c r="G302" s="3" t="s">
        <v>13</v>
      </c>
    </row>
    <row r="303" customFormat="false" ht="23.25" hidden="false" customHeight="true" outlineLevel="0" collapsed="false">
      <c r="A303" s="3" t="s">
        <v>331</v>
      </c>
      <c r="B303" s="3" t="s">
        <v>385</v>
      </c>
      <c r="C303" s="3" t="s">
        <v>333</v>
      </c>
      <c r="D303" s="3" t="s">
        <v>22</v>
      </c>
      <c r="E303" s="3" t="s">
        <v>386</v>
      </c>
      <c r="F303" s="3" t="s">
        <v>24</v>
      </c>
      <c r="G303" s="3" t="s">
        <v>13</v>
      </c>
    </row>
    <row r="304" customFormat="false" ht="15" hidden="false" customHeight="true" outlineLevel="0" collapsed="false">
      <c r="A304" s="3" t="s">
        <v>331</v>
      </c>
      <c r="B304" s="3" t="s">
        <v>387</v>
      </c>
      <c r="C304" s="3" t="s">
        <v>333</v>
      </c>
      <c r="D304" s="3" t="s">
        <v>22</v>
      </c>
      <c r="E304" s="3" t="s">
        <v>388</v>
      </c>
      <c r="F304" s="3" t="s">
        <v>24</v>
      </c>
      <c r="G304" s="3" t="s">
        <v>13</v>
      </c>
    </row>
    <row r="305" customFormat="false" ht="23.25" hidden="false" customHeight="true" outlineLevel="0" collapsed="false">
      <c r="A305" s="3" t="s">
        <v>331</v>
      </c>
      <c r="B305" s="3" t="s">
        <v>389</v>
      </c>
      <c r="C305" s="3" t="s">
        <v>333</v>
      </c>
      <c r="D305" s="3" t="s">
        <v>22</v>
      </c>
      <c r="E305" s="3" t="s">
        <v>390</v>
      </c>
      <c r="F305" s="3" t="s">
        <v>24</v>
      </c>
      <c r="G305" s="3" t="s">
        <v>13</v>
      </c>
    </row>
    <row r="306" customFormat="false" ht="15" hidden="false" customHeight="true" outlineLevel="0" collapsed="false">
      <c r="A306" s="3" t="s">
        <v>331</v>
      </c>
      <c r="B306" s="3" t="s">
        <v>391</v>
      </c>
      <c r="C306" s="3" t="s">
        <v>333</v>
      </c>
      <c r="D306" s="3" t="s">
        <v>22</v>
      </c>
      <c r="E306" s="3" t="s">
        <v>392</v>
      </c>
      <c r="F306" s="3" t="s">
        <v>24</v>
      </c>
      <c r="G306" s="3" t="s">
        <v>13</v>
      </c>
    </row>
    <row r="307" customFormat="false" ht="15" hidden="false" customHeight="true" outlineLevel="0" collapsed="false">
      <c r="A307" s="3" t="s">
        <v>331</v>
      </c>
      <c r="B307" s="3" t="s">
        <v>393</v>
      </c>
      <c r="C307" s="3" t="s">
        <v>333</v>
      </c>
      <c r="D307" s="3" t="s">
        <v>22</v>
      </c>
      <c r="E307" s="3" t="s">
        <v>394</v>
      </c>
      <c r="F307" s="3" t="s">
        <v>24</v>
      </c>
      <c r="G307" s="3" t="s">
        <v>13</v>
      </c>
    </row>
    <row r="308" customFormat="false" ht="23.25" hidden="false" customHeight="true" outlineLevel="0" collapsed="false">
      <c r="A308" s="3" t="s">
        <v>331</v>
      </c>
      <c r="B308" s="3" t="s">
        <v>395</v>
      </c>
      <c r="C308" s="3" t="s">
        <v>333</v>
      </c>
      <c r="D308" s="3" t="s">
        <v>22</v>
      </c>
      <c r="E308" s="3" t="s">
        <v>396</v>
      </c>
      <c r="F308" s="3" t="s">
        <v>24</v>
      </c>
      <c r="G308" s="3" t="s">
        <v>13</v>
      </c>
    </row>
    <row r="309" customFormat="false" ht="23.25" hidden="false" customHeight="true" outlineLevel="0" collapsed="false">
      <c r="A309" s="3" t="s">
        <v>331</v>
      </c>
      <c r="B309" s="3" t="s">
        <v>397</v>
      </c>
      <c r="C309" s="3" t="s">
        <v>333</v>
      </c>
      <c r="D309" s="3" t="s">
        <v>22</v>
      </c>
      <c r="E309" s="3" t="s">
        <v>398</v>
      </c>
      <c r="F309" s="3" t="s">
        <v>24</v>
      </c>
      <c r="G309" s="3" t="s">
        <v>13</v>
      </c>
    </row>
    <row r="310" customFormat="false" ht="23.25" hidden="false" customHeight="true" outlineLevel="0" collapsed="false">
      <c r="A310" s="3" t="s">
        <v>331</v>
      </c>
      <c r="B310" s="3" t="s">
        <v>399</v>
      </c>
      <c r="C310" s="3" t="s">
        <v>333</v>
      </c>
      <c r="D310" s="3" t="s">
        <v>22</v>
      </c>
      <c r="E310" s="3" t="s">
        <v>400</v>
      </c>
      <c r="F310" s="3" t="s">
        <v>24</v>
      </c>
      <c r="G310" s="3" t="s">
        <v>13</v>
      </c>
    </row>
    <row r="311" customFormat="false" ht="23.25" hidden="false" customHeight="true" outlineLevel="0" collapsed="false">
      <c r="A311" s="3" t="s">
        <v>331</v>
      </c>
      <c r="B311" s="3" t="s">
        <v>401</v>
      </c>
      <c r="C311" s="3" t="s">
        <v>333</v>
      </c>
      <c r="D311" s="3" t="s">
        <v>22</v>
      </c>
      <c r="E311" s="3" t="s">
        <v>402</v>
      </c>
      <c r="F311" s="3" t="s">
        <v>24</v>
      </c>
      <c r="G311" s="3" t="s">
        <v>13</v>
      </c>
    </row>
    <row r="312" customFormat="false" ht="15" hidden="false" customHeight="true" outlineLevel="0" collapsed="false">
      <c r="A312" s="3" t="s">
        <v>331</v>
      </c>
      <c r="B312" s="3" t="s">
        <v>403</v>
      </c>
      <c r="C312" s="3" t="s">
        <v>333</v>
      </c>
      <c r="D312" s="3" t="s">
        <v>22</v>
      </c>
      <c r="E312" s="3" t="s">
        <v>404</v>
      </c>
      <c r="F312" s="3" t="s">
        <v>24</v>
      </c>
      <c r="G312" s="3" t="s">
        <v>13</v>
      </c>
    </row>
    <row r="313" customFormat="false" ht="23.25" hidden="false" customHeight="true" outlineLevel="0" collapsed="false">
      <c r="A313" s="3" t="s">
        <v>331</v>
      </c>
      <c r="B313" s="3" t="s">
        <v>405</v>
      </c>
      <c r="C313" s="3" t="s">
        <v>333</v>
      </c>
      <c r="D313" s="3" t="s">
        <v>22</v>
      </c>
      <c r="E313" s="3" t="s">
        <v>406</v>
      </c>
      <c r="F313" s="3" t="s">
        <v>24</v>
      </c>
      <c r="G313" s="3" t="s">
        <v>13</v>
      </c>
    </row>
    <row r="314" customFormat="false" ht="15" hidden="false" customHeight="true" outlineLevel="0" collapsed="false">
      <c r="A314" s="3" t="s">
        <v>331</v>
      </c>
      <c r="B314" s="3" t="s">
        <v>407</v>
      </c>
      <c r="C314" s="3" t="s">
        <v>333</v>
      </c>
      <c r="D314" s="3" t="s">
        <v>22</v>
      </c>
      <c r="E314" s="3" t="s">
        <v>408</v>
      </c>
      <c r="F314" s="3" t="s">
        <v>24</v>
      </c>
      <c r="G314" s="3" t="s">
        <v>13</v>
      </c>
    </row>
    <row r="315" customFormat="false" ht="15" hidden="false" customHeight="true" outlineLevel="0" collapsed="false">
      <c r="A315" s="3" t="s">
        <v>331</v>
      </c>
      <c r="B315" s="3" t="s">
        <v>409</v>
      </c>
      <c r="C315" s="3" t="s">
        <v>333</v>
      </c>
      <c r="D315" s="3" t="s">
        <v>22</v>
      </c>
      <c r="E315" s="3" t="s">
        <v>410</v>
      </c>
      <c r="F315" s="3" t="s">
        <v>24</v>
      </c>
      <c r="G315" s="3" t="s">
        <v>13</v>
      </c>
    </row>
    <row r="316" customFormat="false" ht="23.25" hidden="false" customHeight="true" outlineLevel="0" collapsed="false">
      <c r="A316" s="3" t="s">
        <v>331</v>
      </c>
      <c r="B316" s="3" t="s">
        <v>411</v>
      </c>
      <c r="C316" s="3" t="s">
        <v>333</v>
      </c>
      <c r="D316" s="3" t="s">
        <v>22</v>
      </c>
      <c r="E316" s="3" t="s">
        <v>412</v>
      </c>
      <c r="F316" s="3" t="s">
        <v>24</v>
      </c>
      <c r="G316" s="3" t="s">
        <v>13</v>
      </c>
    </row>
    <row r="317" customFormat="false" ht="23.25" hidden="false" customHeight="true" outlineLevel="0" collapsed="false">
      <c r="A317" s="3" t="s">
        <v>331</v>
      </c>
      <c r="B317" s="3" t="s">
        <v>413</v>
      </c>
      <c r="C317" s="3" t="s">
        <v>333</v>
      </c>
      <c r="D317" s="3" t="s">
        <v>22</v>
      </c>
      <c r="E317" s="3" t="s">
        <v>414</v>
      </c>
      <c r="F317" s="3" t="s">
        <v>24</v>
      </c>
      <c r="G317" s="3" t="s">
        <v>13</v>
      </c>
    </row>
    <row r="318" customFormat="false" ht="23.25" hidden="false" customHeight="true" outlineLevel="0" collapsed="false">
      <c r="A318" s="3" t="s">
        <v>331</v>
      </c>
      <c r="B318" s="3" t="s">
        <v>415</v>
      </c>
      <c r="C318" s="3" t="s">
        <v>333</v>
      </c>
      <c r="D318" s="3" t="s">
        <v>22</v>
      </c>
      <c r="E318" s="3" t="s">
        <v>416</v>
      </c>
      <c r="F318" s="3" t="s">
        <v>24</v>
      </c>
      <c r="G318" s="3" t="s">
        <v>13</v>
      </c>
    </row>
    <row r="319" customFormat="false" ht="23.25" hidden="false" customHeight="true" outlineLevel="0" collapsed="false">
      <c r="A319" s="3" t="s">
        <v>331</v>
      </c>
      <c r="B319" s="3" t="s">
        <v>417</v>
      </c>
      <c r="C319" s="3" t="s">
        <v>333</v>
      </c>
      <c r="D319" s="3" t="s">
        <v>22</v>
      </c>
      <c r="E319" s="3" t="s">
        <v>418</v>
      </c>
      <c r="F319" s="3" t="s">
        <v>24</v>
      </c>
      <c r="G319" s="3" t="s">
        <v>13</v>
      </c>
    </row>
    <row r="320" customFormat="false" ht="15" hidden="false" customHeight="true" outlineLevel="0" collapsed="false">
      <c r="A320" s="3" t="s">
        <v>331</v>
      </c>
      <c r="B320" s="3" t="s">
        <v>419</v>
      </c>
      <c r="C320" s="3" t="s">
        <v>333</v>
      </c>
      <c r="D320" s="3" t="s">
        <v>22</v>
      </c>
      <c r="E320" s="3" t="s">
        <v>420</v>
      </c>
      <c r="F320" s="3" t="s">
        <v>24</v>
      </c>
      <c r="G320" s="3" t="s">
        <v>13</v>
      </c>
    </row>
    <row r="321" customFormat="false" ht="23.25" hidden="false" customHeight="true" outlineLevel="0" collapsed="false">
      <c r="A321" s="3" t="s">
        <v>331</v>
      </c>
      <c r="B321" s="3" t="s">
        <v>421</v>
      </c>
      <c r="C321" s="3" t="s">
        <v>333</v>
      </c>
      <c r="D321" s="3" t="s">
        <v>22</v>
      </c>
      <c r="E321" s="3" t="s">
        <v>422</v>
      </c>
      <c r="F321" s="3" t="s">
        <v>24</v>
      </c>
      <c r="G321" s="3" t="s">
        <v>13</v>
      </c>
    </row>
    <row r="322" customFormat="false" ht="15" hidden="false" customHeight="true" outlineLevel="0" collapsed="false">
      <c r="A322" s="3" t="s">
        <v>331</v>
      </c>
      <c r="B322" s="3" t="s">
        <v>423</v>
      </c>
      <c r="C322" s="3" t="s">
        <v>333</v>
      </c>
      <c r="D322" s="3" t="s">
        <v>22</v>
      </c>
      <c r="E322" s="3" t="s">
        <v>424</v>
      </c>
      <c r="F322" s="3" t="s">
        <v>24</v>
      </c>
      <c r="G322" s="3" t="s">
        <v>13</v>
      </c>
    </row>
    <row r="323" customFormat="false" ht="15" hidden="false" customHeight="true" outlineLevel="0" collapsed="false">
      <c r="A323" s="3" t="s">
        <v>331</v>
      </c>
      <c r="B323" s="3" t="s">
        <v>425</v>
      </c>
      <c r="C323" s="3" t="s">
        <v>333</v>
      </c>
      <c r="D323" s="3" t="s">
        <v>22</v>
      </c>
      <c r="E323" s="3" t="s">
        <v>426</v>
      </c>
      <c r="F323" s="3" t="s">
        <v>24</v>
      </c>
      <c r="G323" s="3" t="s">
        <v>13</v>
      </c>
    </row>
    <row r="324" customFormat="false" ht="23.25" hidden="false" customHeight="true" outlineLevel="0" collapsed="false">
      <c r="A324" s="3" t="s">
        <v>331</v>
      </c>
      <c r="B324" s="3" t="s">
        <v>427</v>
      </c>
      <c r="C324" s="3" t="s">
        <v>333</v>
      </c>
      <c r="D324" s="3" t="s">
        <v>22</v>
      </c>
      <c r="E324" s="3" t="s">
        <v>428</v>
      </c>
      <c r="F324" s="3" t="s">
        <v>24</v>
      </c>
      <c r="G324" s="3" t="s">
        <v>13</v>
      </c>
    </row>
    <row r="325" customFormat="false" ht="23.25" hidden="false" customHeight="true" outlineLevel="0" collapsed="false">
      <c r="A325" s="3" t="s">
        <v>331</v>
      </c>
      <c r="B325" s="3" t="s">
        <v>429</v>
      </c>
      <c r="C325" s="3" t="s">
        <v>333</v>
      </c>
      <c r="D325" s="3" t="s">
        <v>22</v>
      </c>
      <c r="E325" s="3" t="s">
        <v>430</v>
      </c>
      <c r="F325" s="3" t="s">
        <v>24</v>
      </c>
      <c r="G325" s="3" t="s">
        <v>13</v>
      </c>
    </row>
    <row r="326" customFormat="false" ht="23.25" hidden="false" customHeight="true" outlineLevel="0" collapsed="false">
      <c r="A326" s="3" t="s">
        <v>331</v>
      </c>
      <c r="B326" s="3" t="s">
        <v>431</v>
      </c>
      <c r="C326" s="3" t="s">
        <v>333</v>
      </c>
      <c r="D326" s="3" t="s">
        <v>22</v>
      </c>
      <c r="E326" s="3" t="s">
        <v>432</v>
      </c>
      <c r="F326" s="3" t="s">
        <v>24</v>
      </c>
      <c r="G326" s="3" t="s">
        <v>13</v>
      </c>
    </row>
    <row r="327" customFormat="false" ht="23.25" hidden="false" customHeight="true" outlineLevel="0" collapsed="false">
      <c r="A327" s="3" t="s">
        <v>331</v>
      </c>
      <c r="B327" s="3" t="s">
        <v>433</v>
      </c>
      <c r="C327" s="3" t="s">
        <v>333</v>
      </c>
      <c r="D327" s="3" t="s">
        <v>22</v>
      </c>
      <c r="E327" s="3" t="s">
        <v>434</v>
      </c>
      <c r="F327" s="3" t="s">
        <v>24</v>
      </c>
      <c r="G327" s="3" t="s">
        <v>13</v>
      </c>
    </row>
    <row r="328" customFormat="false" ht="15" hidden="false" customHeight="true" outlineLevel="0" collapsed="false">
      <c r="A328" s="3" t="s">
        <v>331</v>
      </c>
      <c r="B328" s="3" t="s">
        <v>435</v>
      </c>
      <c r="C328" s="3" t="s">
        <v>333</v>
      </c>
      <c r="D328" s="3" t="s">
        <v>22</v>
      </c>
      <c r="E328" s="3" t="s">
        <v>436</v>
      </c>
      <c r="F328" s="3" t="s">
        <v>24</v>
      </c>
      <c r="G328" s="3" t="s">
        <v>13</v>
      </c>
    </row>
    <row r="329" customFormat="false" ht="23.25" hidden="false" customHeight="true" outlineLevel="0" collapsed="false">
      <c r="A329" s="3" t="s">
        <v>331</v>
      </c>
      <c r="B329" s="3" t="s">
        <v>437</v>
      </c>
      <c r="C329" s="3" t="s">
        <v>333</v>
      </c>
      <c r="D329" s="3" t="s">
        <v>22</v>
      </c>
      <c r="E329" s="3" t="s">
        <v>438</v>
      </c>
      <c r="F329" s="3" t="s">
        <v>24</v>
      </c>
      <c r="G329" s="3" t="s">
        <v>13</v>
      </c>
    </row>
    <row r="330" customFormat="false" ht="15" hidden="false" customHeight="true" outlineLevel="0" collapsed="false">
      <c r="A330" s="3" t="s">
        <v>331</v>
      </c>
      <c r="B330" s="3" t="s">
        <v>439</v>
      </c>
      <c r="C330" s="3" t="s">
        <v>333</v>
      </c>
      <c r="D330" s="3" t="s">
        <v>22</v>
      </c>
      <c r="E330" s="3" t="s">
        <v>440</v>
      </c>
      <c r="F330" s="3" t="s">
        <v>24</v>
      </c>
      <c r="G330" s="3" t="s">
        <v>13</v>
      </c>
    </row>
    <row r="331" customFormat="false" ht="15" hidden="false" customHeight="true" outlineLevel="0" collapsed="false">
      <c r="A331" s="3" t="s">
        <v>331</v>
      </c>
      <c r="B331" s="3" t="s">
        <v>441</v>
      </c>
      <c r="C331" s="3" t="s">
        <v>333</v>
      </c>
      <c r="D331" s="3" t="s">
        <v>22</v>
      </c>
      <c r="E331" s="3" t="s">
        <v>442</v>
      </c>
      <c r="F331" s="3" t="s">
        <v>24</v>
      </c>
      <c r="G331" s="3" t="s">
        <v>13</v>
      </c>
    </row>
    <row r="332" customFormat="false" ht="23.25" hidden="false" customHeight="true" outlineLevel="0" collapsed="false">
      <c r="A332" s="3" t="s">
        <v>331</v>
      </c>
      <c r="B332" s="3" t="s">
        <v>443</v>
      </c>
      <c r="C332" s="3" t="s">
        <v>333</v>
      </c>
      <c r="D332" s="3" t="s">
        <v>22</v>
      </c>
      <c r="E332" s="3" t="s">
        <v>444</v>
      </c>
      <c r="F332" s="3" t="s">
        <v>24</v>
      </c>
      <c r="G332" s="3" t="s">
        <v>13</v>
      </c>
    </row>
    <row r="333" customFormat="false" ht="23.25" hidden="false" customHeight="true" outlineLevel="0" collapsed="false">
      <c r="A333" s="3" t="s">
        <v>331</v>
      </c>
      <c r="B333" s="3" t="s">
        <v>445</v>
      </c>
      <c r="C333" s="3" t="s">
        <v>333</v>
      </c>
      <c r="D333" s="3" t="s">
        <v>22</v>
      </c>
      <c r="E333" s="3" t="s">
        <v>446</v>
      </c>
      <c r="F333" s="3" t="s">
        <v>24</v>
      </c>
      <c r="G333" s="3" t="s">
        <v>13</v>
      </c>
    </row>
    <row r="334" customFormat="false" ht="23.25" hidden="false" customHeight="true" outlineLevel="0" collapsed="false">
      <c r="A334" s="3" t="s">
        <v>331</v>
      </c>
      <c r="B334" s="3" t="s">
        <v>447</v>
      </c>
      <c r="C334" s="3" t="s">
        <v>333</v>
      </c>
      <c r="D334" s="3" t="s">
        <v>22</v>
      </c>
      <c r="E334" s="3" t="s">
        <v>448</v>
      </c>
      <c r="F334" s="3" t="s">
        <v>24</v>
      </c>
      <c r="G334" s="3" t="s">
        <v>13</v>
      </c>
    </row>
    <row r="335" customFormat="false" ht="23.25" hidden="false" customHeight="true" outlineLevel="0" collapsed="false">
      <c r="A335" s="3" t="s">
        <v>331</v>
      </c>
      <c r="B335" s="3" t="s">
        <v>449</v>
      </c>
      <c r="C335" s="3" t="s">
        <v>333</v>
      </c>
      <c r="D335" s="3" t="s">
        <v>22</v>
      </c>
      <c r="E335" s="3" t="s">
        <v>450</v>
      </c>
      <c r="F335" s="3" t="s">
        <v>24</v>
      </c>
      <c r="G335" s="3" t="s">
        <v>13</v>
      </c>
    </row>
    <row r="336" customFormat="false" ht="15" hidden="false" customHeight="true" outlineLevel="0" collapsed="false">
      <c r="A336" s="3" t="s">
        <v>331</v>
      </c>
      <c r="B336" s="3" t="s">
        <v>451</v>
      </c>
      <c r="C336" s="3" t="s">
        <v>333</v>
      </c>
      <c r="D336" s="3" t="s">
        <v>22</v>
      </c>
      <c r="E336" s="3" t="s">
        <v>452</v>
      </c>
      <c r="F336" s="3" t="s">
        <v>24</v>
      </c>
      <c r="G336" s="3" t="s">
        <v>13</v>
      </c>
    </row>
    <row r="337" customFormat="false" ht="23.25" hidden="false" customHeight="true" outlineLevel="0" collapsed="false">
      <c r="A337" s="3" t="s">
        <v>331</v>
      </c>
      <c r="B337" s="3" t="s">
        <v>453</v>
      </c>
      <c r="C337" s="3" t="s">
        <v>333</v>
      </c>
      <c r="D337" s="3" t="s">
        <v>22</v>
      </c>
      <c r="E337" s="3" t="s">
        <v>454</v>
      </c>
      <c r="F337" s="3" t="s">
        <v>24</v>
      </c>
      <c r="G337" s="3" t="s">
        <v>13</v>
      </c>
    </row>
    <row r="338" customFormat="false" ht="15" hidden="false" customHeight="true" outlineLevel="0" collapsed="false">
      <c r="A338" s="3" t="s">
        <v>331</v>
      </c>
      <c r="B338" s="3" t="s">
        <v>455</v>
      </c>
      <c r="C338" s="3" t="s">
        <v>333</v>
      </c>
      <c r="D338" s="3" t="s">
        <v>22</v>
      </c>
      <c r="E338" s="3" t="s">
        <v>456</v>
      </c>
      <c r="F338" s="3" t="s">
        <v>24</v>
      </c>
      <c r="G338" s="3" t="s">
        <v>13</v>
      </c>
    </row>
    <row r="339" customFormat="false" ht="15" hidden="false" customHeight="true" outlineLevel="0" collapsed="false">
      <c r="A339" s="3" t="s">
        <v>331</v>
      </c>
      <c r="B339" s="3" t="s">
        <v>457</v>
      </c>
      <c r="C339" s="3" t="s">
        <v>333</v>
      </c>
      <c r="D339" s="3" t="s">
        <v>22</v>
      </c>
      <c r="E339" s="3" t="s">
        <v>458</v>
      </c>
      <c r="F339" s="3" t="s">
        <v>24</v>
      </c>
      <c r="G339" s="3" t="s">
        <v>13</v>
      </c>
    </row>
    <row r="340" customFormat="false" ht="23.25" hidden="false" customHeight="true" outlineLevel="0" collapsed="false">
      <c r="A340" s="3" t="s">
        <v>331</v>
      </c>
      <c r="B340" s="3" t="s">
        <v>459</v>
      </c>
      <c r="C340" s="3" t="s">
        <v>333</v>
      </c>
      <c r="D340" s="3" t="s">
        <v>22</v>
      </c>
      <c r="E340" s="3" t="s">
        <v>460</v>
      </c>
      <c r="F340" s="3" t="s">
        <v>24</v>
      </c>
      <c r="G340" s="3" t="s">
        <v>13</v>
      </c>
    </row>
    <row r="341" customFormat="false" ht="23.25" hidden="false" customHeight="true" outlineLevel="0" collapsed="false">
      <c r="A341" s="3" t="s">
        <v>331</v>
      </c>
      <c r="B341" s="3" t="s">
        <v>461</v>
      </c>
      <c r="C341" s="3" t="s">
        <v>333</v>
      </c>
      <c r="D341" s="3" t="s">
        <v>22</v>
      </c>
      <c r="E341" s="3" t="s">
        <v>462</v>
      </c>
      <c r="F341" s="3" t="s">
        <v>24</v>
      </c>
      <c r="G341" s="3" t="s">
        <v>13</v>
      </c>
    </row>
    <row r="342" customFormat="false" ht="23.25" hidden="false" customHeight="true" outlineLevel="0" collapsed="false">
      <c r="A342" s="3" t="s">
        <v>331</v>
      </c>
      <c r="B342" s="3" t="s">
        <v>463</v>
      </c>
      <c r="C342" s="3" t="s">
        <v>333</v>
      </c>
      <c r="D342" s="3" t="s">
        <v>22</v>
      </c>
      <c r="E342" s="3" t="s">
        <v>464</v>
      </c>
      <c r="F342" s="3" t="s">
        <v>24</v>
      </c>
      <c r="G342" s="3" t="s">
        <v>13</v>
      </c>
    </row>
    <row r="343" customFormat="false" ht="23.25" hidden="false" customHeight="true" outlineLevel="0" collapsed="false">
      <c r="A343" s="3" t="s">
        <v>331</v>
      </c>
      <c r="B343" s="3" t="s">
        <v>465</v>
      </c>
      <c r="C343" s="3" t="s">
        <v>333</v>
      </c>
      <c r="D343" s="3" t="s">
        <v>22</v>
      </c>
      <c r="E343" s="3" t="s">
        <v>466</v>
      </c>
      <c r="F343" s="3" t="s">
        <v>24</v>
      </c>
      <c r="G343" s="3" t="s">
        <v>13</v>
      </c>
    </row>
    <row r="344" customFormat="false" ht="15" hidden="false" customHeight="true" outlineLevel="0" collapsed="false">
      <c r="A344" s="3" t="s">
        <v>331</v>
      </c>
      <c r="B344" s="3" t="s">
        <v>467</v>
      </c>
      <c r="C344" s="3" t="s">
        <v>333</v>
      </c>
      <c r="D344" s="3" t="s">
        <v>22</v>
      </c>
      <c r="E344" s="3" t="s">
        <v>468</v>
      </c>
      <c r="F344" s="3" t="s">
        <v>24</v>
      </c>
      <c r="G344" s="3" t="s">
        <v>13</v>
      </c>
    </row>
    <row r="345" customFormat="false" ht="23.25" hidden="false" customHeight="true" outlineLevel="0" collapsed="false">
      <c r="A345" s="3" t="s">
        <v>331</v>
      </c>
      <c r="B345" s="3" t="s">
        <v>469</v>
      </c>
      <c r="C345" s="3" t="s">
        <v>333</v>
      </c>
      <c r="D345" s="3" t="s">
        <v>22</v>
      </c>
      <c r="E345" s="3" t="s">
        <v>470</v>
      </c>
      <c r="F345" s="3" t="s">
        <v>24</v>
      </c>
      <c r="G345" s="3" t="s">
        <v>13</v>
      </c>
    </row>
    <row r="346" customFormat="false" ht="15" hidden="false" customHeight="true" outlineLevel="0" collapsed="false">
      <c r="A346" s="3" t="s">
        <v>331</v>
      </c>
      <c r="B346" s="3" t="s">
        <v>471</v>
      </c>
      <c r="C346" s="3" t="s">
        <v>333</v>
      </c>
      <c r="D346" s="3" t="s">
        <v>22</v>
      </c>
      <c r="E346" s="3" t="s">
        <v>472</v>
      </c>
      <c r="F346" s="3" t="s">
        <v>24</v>
      </c>
      <c r="G346" s="3" t="s">
        <v>13</v>
      </c>
    </row>
    <row r="347" customFormat="false" ht="15" hidden="false" customHeight="true" outlineLevel="0" collapsed="false">
      <c r="A347" s="3" t="s">
        <v>331</v>
      </c>
      <c r="B347" s="3" t="s">
        <v>473</v>
      </c>
      <c r="C347" s="3" t="s">
        <v>333</v>
      </c>
      <c r="D347" s="3" t="s">
        <v>22</v>
      </c>
      <c r="E347" s="3" t="s">
        <v>474</v>
      </c>
      <c r="F347" s="3" t="s">
        <v>24</v>
      </c>
      <c r="G347" s="3" t="s">
        <v>13</v>
      </c>
    </row>
    <row r="348" customFormat="false" ht="23.25" hidden="false" customHeight="true" outlineLevel="0" collapsed="false">
      <c r="A348" s="3" t="s">
        <v>331</v>
      </c>
      <c r="B348" s="3" t="s">
        <v>475</v>
      </c>
      <c r="C348" s="3" t="s">
        <v>333</v>
      </c>
      <c r="D348" s="3" t="s">
        <v>22</v>
      </c>
      <c r="E348" s="3" t="s">
        <v>476</v>
      </c>
      <c r="F348" s="3" t="s">
        <v>24</v>
      </c>
      <c r="G348" s="3" t="s">
        <v>13</v>
      </c>
    </row>
    <row r="349" customFormat="false" ht="23.25" hidden="false" customHeight="true" outlineLevel="0" collapsed="false">
      <c r="A349" s="3" t="s">
        <v>331</v>
      </c>
      <c r="B349" s="3" t="s">
        <v>477</v>
      </c>
      <c r="C349" s="3" t="s">
        <v>333</v>
      </c>
      <c r="D349" s="3" t="s">
        <v>22</v>
      </c>
      <c r="E349" s="3" t="s">
        <v>478</v>
      </c>
      <c r="F349" s="3" t="s">
        <v>24</v>
      </c>
      <c r="G349" s="3" t="s">
        <v>13</v>
      </c>
    </row>
    <row r="350" customFormat="false" ht="23.25" hidden="false" customHeight="true" outlineLevel="0" collapsed="false">
      <c r="A350" s="3" t="s">
        <v>331</v>
      </c>
      <c r="B350" s="3" t="s">
        <v>479</v>
      </c>
      <c r="C350" s="3" t="s">
        <v>333</v>
      </c>
      <c r="D350" s="3" t="s">
        <v>22</v>
      </c>
      <c r="E350" s="3" t="s">
        <v>480</v>
      </c>
      <c r="F350" s="3" t="s">
        <v>24</v>
      </c>
      <c r="G350" s="3" t="s">
        <v>13</v>
      </c>
    </row>
    <row r="351" customFormat="false" ht="34.5" hidden="false" customHeight="true" outlineLevel="0" collapsed="false">
      <c r="A351" s="3" t="s">
        <v>331</v>
      </c>
      <c r="B351" s="3" t="s">
        <v>481</v>
      </c>
      <c r="C351" s="3" t="s">
        <v>333</v>
      </c>
      <c r="D351" s="3" t="s">
        <v>22</v>
      </c>
      <c r="E351" s="3" t="s">
        <v>482</v>
      </c>
      <c r="F351" s="3" t="s">
        <v>24</v>
      </c>
      <c r="G351" s="3" t="s">
        <v>13</v>
      </c>
    </row>
    <row r="352" customFormat="false" ht="15" hidden="false" customHeight="true" outlineLevel="0" collapsed="false">
      <c r="A352" s="3" t="s">
        <v>331</v>
      </c>
      <c r="B352" s="3" t="s">
        <v>483</v>
      </c>
      <c r="C352" s="3" t="s">
        <v>333</v>
      </c>
      <c r="D352" s="3" t="s">
        <v>22</v>
      </c>
      <c r="E352" s="3" t="s">
        <v>484</v>
      </c>
      <c r="F352" s="3" t="s">
        <v>24</v>
      </c>
      <c r="G352" s="3" t="s">
        <v>13</v>
      </c>
    </row>
    <row r="353" customFormat="false" ht="23.25" hidden="false" customHeight="true" outlineLevel="0" collapsed="false">
      <c r="A353" s="3" t="s">
        <v>331</v>
      </c>
      <c r="B353" s="3" t="s">
        <v>485</v>
      </c>
      <c r="C353" s="3" t="s">
        <v>333</v>
      </c>
      <c r="D353" s="3" t="s">
        <v>22</v>
      </c>
      <c r="E353" s="3" t="s">
        <v>486</v>
      </c>
      <c r="F353" s="3" t="s">
        <v>24</v>
      </c>
      <c r="G353" s="3" t="s">
        <v>13</v>
      </c>
    </row>
    <row r="354" customFormat="false" ht="15" hidden="false" customHeight="true" outlineLevel="0" collapsed="false">
      <c r="A354" s="3" t="s">
        <v>331</v>
      </c>
      <c r="B354" s="3" t="s">
        <v>487</v>
      </c>
      <c r="C354" s="3" t="s">
        <v>333</v>
      </c>
      <c r="D354" s="3" t="s">
        <v>22</v>
      </c>
      <c r="E354" s="3" t="s">
        <v>488</v>
      </c>
      <c r="F354" s="3" t="s">
        <v>24</v>
      </c>
      <c r="G354" s="3" t="s">
        <v>13</v>
      </c>
    </row>
    <row r="355" customFormat="false" ht="15" hidden="false" customHeight="true" outlineLevel="0" collapsed="false">
      <c r="A355" s="3" t="s">
        <v>331</v>
      </c>
      <c r="B355" s="3" t="s">
        <v>489</v>
      </c>
      <c r="C355" s="3" t="s">
        <v>333</v>
      </c>
      <c r="D355" s="3" t="s">
        <v>22</v>
      </c>
      <c r="E355" s="3" t="s">
        <v>490</v>
      </c>
      <c r="F355" s="3" t="s">
        <v>24</v>
      </c>
      <c r="G355" s="3" t="s">
        <v>13</v>
      </c>
    </row>
    <row r="356" customFormat="false" ht="23.25" hidden="false" customHeight="true" outlineLevel="0" collapsed="false">
      <c r="A356" s="3" t="s">
        <v>331</v>
      </c>
      <c r="B356" s="3" t="s">
        <v>491</v>
      </c>
      <c r="C356" s="3" t="s">
        <v>333</v>
      </c>
      <c r="D356" s="3" t="s">
        <v>22</v>
      </c>
      <c r="E356" s="3" t="s">
        <v>492</v>
      </c>
      <c r="F356" s="3" t="s">
        <v>24</v>
      </c>
      <c r="G356" s="3" t="s">
        <v>13</v>
      </c>
    </row>
    <row r="357" customFormat="false" ht="45.75" hidden="false" customHeight="true" outlineLevel="0" collapsed="false">
      <c r="A357" s="3" t="s">
        <v>331</v>
      </c>
      <c r="B357" s="3" t="s">
        <v>493</v>
      </c>
      <c r="C357" s="3" t="s">
        <v>333</v>
      </c>
      <c r="D357" s="3" t="s">
        <v>12</v>
      </c>
      <c r="E357" s="3" t="s">
        <v>494</v>
      </c>
      <c r="F357" s="3" t="s">
        <v>12</v>
      </c>
      <c r="G357" s="3" t="s">
        <v>13</v>
      </c>
    </row>
    <row r="358" customFormat="false" ht="68.25" hidden="false" customHeight="true" outlineLevel="0" collapsed="false">
      <c r="A358" s="3" t="s">
        <v>331</v>
      </c>
      <c r="B358" s="3" t="s">
        <v>495</v>
      </c>
      <c r="C358" s="3" t="s">
        <v>333</v>
      </c>
      <c r="D358" s="3" t="s">
        <v>22</v>
      </c>
      <c r="E358" s="3" t="s">
        <v>168</v>
      </c>
      <c r="F358" s="3" t="s">
        <v>24</v>
      </c>
      <c r="G358" s="3" t="s">
        <v>13</v>
      </c>
    </row>
    <row r="359" customFormat="false" ht="45.75" hidden="false" customHeight="true" outlineLevel="0" collapsed="false">
      <c r="A359" s="3" t="s">
        <v>7</v>
      </c>
      <c r="B359" s="3" t="s">
        <v>496</v>
      </c>
      <c r="C359" s="3" t="s">
        <v>9</v>
      </c>
      <c r="D359" s="3" t="s">
        <v>10</v>
      </c>
      <c r="E359" s="3" t="s">
        <v>11</v>
      </c>
      <c r="F359" s="3" t="s">
        <v>12</v>
      </c>
      <c r="G359" s="3" t="s">
        <v>13</v>
      </c>
    </row>
    <row r="360" customFormat="false" ht="34.5" hidden="false" customHeight="true" outlineLevel="0" collapsed="false">
      <c r="A360" s="3" t="s">
        <v>7</v>
      </c>
      <c r="B360" s="3" t="s">
        <v>497</v>
      </c>
      <c r="C360" s="3" t="s">
        <v>9</v>
      </c>
      <c r="D360" s="3" t="s">
        <v>10</v>
      </c>
      <c r="E360" s="3" t="s">
        <v>11</v>
      </c>
      <c r="F360" s="3" t="s">
        <v>12</v>
      </c>
      <c r="G360" s="3" t="s">
        <v>13</v>
      </c>
    </row>
    <row r="362" customFormat="false" ht="68.25" hidden="false" customHeight="true" outlineLevel="0" collapsed="false">
      <c r="A362" s="3" t="s">
        <v>331</v>
      </c>
      <c r="B362" s="3" t="s">
        <v>498</v>
      </c>
      <c r="C362" s="3" t="s">
        <v>499</v>
      </c>
      <c r="D362" s="3" t="s">
        <v>500</v>
      </c>
      <c r="E362" s="3" t="s">
        <v>501</v>
      </c>
      <c r="F362" s="3" t="s">
        <v>24</v>
      </c>
      <c r="G362" s="3" t="s">
        <v>13</v>
      </c>
    </row>
    <row r="363" customFormat="false" ht="45.75" hidden="false" customHeight="true" outlineLevel="0" collapsed="false">
      <c r="A363" s="3" t="s">
        <v>502</v>
      </c>
      <c r="B363" s="3" t="s">
        <v>503</v>
      </c>
      <c r="C363" s="3" t="s">
        <v>9</v>
      </c>
      <c r="D363" s="3" t="s">
        <v>504</v>
      </c>
      <c r="E363" s="3" t="s">
        <v>505</v>
      </c>
      <c r="F363" s="3" t="s">
        <v>24</v>
      </c>
      <c r="G363" s="3" t="s">
        <v>13</v>
      </c>
    </row>
    <row r="365" customFormat="false" ht="57" hidden="false" customHeight="true" outlineLevel="0" collapsed="false">
      <c r="A365" s="3" t="s">
        <v>506</v>
      </c>
      <c r="B365" s="3" t="s">
        <v>507</v>
      </c>
      <c r="C365" s="3" t="s">
        <v>508</v>
      </c>
      <c r="D365" s="3" t="s">
        <v>509</v>
      </c>
      <c r="E365" s="3" t="s">
        <v>510</v>
      </c>
      <c r="F365" s="3" t="s">
        <v>511</v>
      </c>
      <c r="G365" s="3" t="s">
        <v>512</v>
      </c>
    </row>
    <row r="366" customFormat="false" ht="57" hidden="false" customHeight="true" outlineLevel="0" collapsed="false">
      <c r="A366" s="3" t="s">
        <v>513</v>
      </c>
      <c r="B366" s="3" t="s">
        <v>514</v>
      </c>
      <c r="C366" s="3" t="s">
        <v>515</v>
      </c>
      <c r="D366" s="3" t="s">
        <v>509</v>
      </c>
      <c r="E366" s="3" t="s">
        <v>516</v>
      </c>
      <c r="F366" s="3" t="s">
        <v>511</v>
      </c>
      <c r="G366" s="3" t="s">
        <v>512</v>
      </c>
    </row>
    <row r="367" customFormat="false" ht="57" hidden="false" customHeight="true" outlineLevel="0" collapsed="false">
      <c r="A367" s="3" t="s">
        <v>517</v>
      </c>
      <c r="B367" s="3" t="s">
        <v>518</v>
      </c>
      <c r="C367" s="3" t="s">
        <v>9</v>
      </c>
      <c r="D367" s="3" t="s">
        <v>519</v>
      </c>
      <c r="E367" s="3" t="s">
        <v>520</v>
      </c>
      <c r="F367" s="3" t="s">
        <v>12</v>
      </c>
      <c r="G367" s="3" t="s">
        <v>512</v>
      </c>
    </row>
    <row r="369" customFormat="false" ht="102" hidden="false" customHeight="true" outlineLevel="0" collapsed="false">
      <c r="A369" s="3" t="s">
        <v>7</v>
      </c>
      <c r="B369" s="3" t="s">
        <v>521</v>
      </c>
      <c r="C369" s="3" t="s">
        <v>9</v>
      </c>
      <c r="D369" s="3" t="s">
        <v>10</v>
      </c>
      <c r="E369" s="3" t="s">
        <v>11</v>
      </c>
      <c r="F369" s="3" t="s">
        <v>12</v>
      </c>
      <c r="G369" s="3" t="s">
        <v>512</v>
      </c>
    </row>
    <row r="371" customFormat="false" ht="90.75" hidden="false" customHeight="true" outlineLevel="0" collapsed="false">
      <c r="A371" s="3" t="s">
        <v>7</v>
      </c>
      <c r="B371" s="3" t="s">
        <v>522</v>
      </c>
      <c r="C371" s="3" t="s">
        <v>9</v>
      </c>
      <c r="D371" s="3" t="s">
        <v>10</v>
      </c>
      <c r="E371" s="3" t="s">
        <v>11</v>
      </c>
      <c r="F371" s="3" t="s">
        <v>12</v>
      </c>
      <c r="G371" s="3" t="s">
        <v>512</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M3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3" min="1" style="1" width="15"/>
  </cols>
  <sheetData>
    <row r="1" customFormat="false" ht="21.75" hidden="false" customHeight="true" outlineLevel="0" collapsed="false">
      <c r="A1" s="6" t="s">
        <v>747</v>
      </c>
      <c r="B1" s="6" t="s">
        <v>748</v>
      </c>
      <c r="C1" s="6" t="s">
        <v>749</v>
      </c>
      <c r="D1" s="6" t="s">
        <v>750</v>
      </c>
      <c r="E1" s="6" t="s">
        <v>751</v>
      </c>
      <c r="F1" s="6" t="s">
        <v>752</v>
      </c>
      <c r="G1" s="6" t="s">
        <v>753</v>
      </c>
      <c r="H1" s="6" t="s">
        <v>754</v>
      </c>
      <c r="I1" s="6" t="s">
        <v>755</v>
      </c>
      <c r="J1" s="6" t="s">
        <v>756</v>
      </c>
      <c r="K1" s="6" t="s">
        <v>757</v>
      </c>
      <c r="L1" s="6" t="s">
        <v>758</v>
      </c>
      <c r="M1" s="6" t="s">
        <v>759</v>
      </c>
    </row>
    <row r="2" customFormat="false" ht="15" hidden="false" customHeight="true" outlineLevel="0" collapsed="false">
      <c r="A2" s="2" t="n">
        <v>2000</v>
      </c>
      <c r="B2" s="12" t="n">
        <v>13280026</v>
      </c>
      <c r="C2" s="12" t="n">
        <v>185618</v>
      </c>
      <c r="D2" s="12" t="n">
        <v>502403</v>
      </c>
      <c r="E2" s="12" t="n">
        <v>159996</v>
      </c>
      <c r="F2" s="15" t="n">
        <v>0.0570495170928505</v>
      </c>
      <c r="G2" s="15" t="n">
        <v>0.0535703888971928</v>
      </c>
      <c r="H2" s="23" t="n">
        <v>1077.77312185549</v>
      </c>
      <c r="I2" s="15"/>
      <c r="J2" s="12" t="n">
        <v>314081</v>
      </c>
      <c r="K2" s="15" t="n">
        <v>0.0236506314068963</v>
      </c>
      <c r="L2" s="23" t="n">
        <v>63921.2611556993</v>
      </c>
      <c r="M2" s="15" t="n">
        <v>0.0914206399577968</v>
      </c>
    </row>
    <row r="3" customFormat="false" ht="15" hidden="false" customHeight="true" outlineLevel="0" collapsed="false">
      <c r="A3" s="2" t="n">
        <v>2001</v>
      </c>
      <c r="B3" s="12" t="n">
        <v>13506338</v>
      </c>
      <c r="C3" s="12" t="n">
        <v>226312</v>
      </c>
      <c r="D3" s="12" t="n">
        <v>199286</v>
      </c>
      <c r="E3" s="12" t="n">
        <v>89895</v>
      </c>
      <c r="F3" s="15" t="n">
        <v>0.0661952398073536</v>
      </c>
      <c r="G3" s="15" t="n">
        <v>0.0628361899798045</v>
      </c>
      <c r="H3" s="23" t="n">
        <v>1109.42848730818</v>
      </c>
      <c r="I3" s="15" t="n">
        <v>0.0293710845174843</v>
      </c>
      <c r="J3" s="12" t="n">
        <v>286074</v>
      </c>
      <c r="K3" s="15" t="n">
        <v>0.0211807227095901</v>
      </c>
      <c r="L3" s="23" t="n">
        <v>70414.4728499478</v>
      </c>
      <c r="M3" s="15" t="n">
        <v>0.0881521027138464</v>
      </c>
    </row>
    <row r="4" customFormat="false" ht="15" hidden="false" customHeight="true" outlineLevel="0" collapsed="false">
      <c r="A4" s="2" t="n">
        <v>2002</v>
      </c>
      <c r="B4" s="12" t="n">
        <v>13708536</v>
      </c>
      <c r="C4" s="12" t="n">
        <v>202198</v>
      </c>
      <c r="D4" s="12" t="n">
        <v>176240</v>
      </c>
      <c r="E4" s="12" t="n">
        <v>97135</v>
      </c>
      <c r="F4" s="15" t="n">
        <v>0.0728804032043629</v>
      </c>
      <c r="G4" s="15" t="n">
        <v>0.0698835562500971</v>
      </c>
      <c r="H4" s="23" t="n">
        <v>1104.25844871763</v>
      </c>
      <c r="I4" s="15" t="n">
        <v>-0.00466009179473437</v>
      </c>
      <c r="J4" s="12" t="n">
        <v>259053</v>
      </c>
      <c r="K4" s="15" t="n">
        <v>0.0188972039027362</v>
      </c>
      <c r="L4" s="23" t="n">
        <v>80125.3144100935</v>
      </c>
      <c r="M4" s="15" t="n">
        <v>0.0811310760638012</v>
      </c>
    </row>
    <row r="5" customFormat="false" ht="15" hidden="false" customHeight="true" outlineLevel="0" collapsed="false">
      <c r="A5" s="2" t="n">
        <v>2003</v>
      </c>
      <c r="B5" s="12" t="n">
        <v>13886356</v>
      </c>
      <c r="C5" s="12" t="n">
        <v>177820</v>
      </c>
      <c r="D5" s="12" t="n">
        <v>179440</v>
      </c>
      <c r="E5" s="12" t="n">
        <v>113928</v>
      </c>
      <c r="F5" s="15" t="n">
        <v>0.0765539826465567</v>
      </c>
      <c r="G5" s="15" t="n">
        <v>0.0741761780205801</v>
      </c>
      <c r="H5" s="23" t="n">
        <v>1091.66142111462</v>
      </c>
      <c r="I5" s="15" t="n">
        <v>-0.0114076805277269</v>
      </c>
      <c r="J5" s="12" t="n">
        <v>258616</v>
      </c>
      <c r="K5" s="15" t="n">
        <v>0.0186237483757438</v>
      </c>
      <c r="L5" s="23" t="n">
        <v>91804.4930478734</v>
      </c>
      <c r="M5" s="15" t="n">
        <v>0.0746378584178841</v>
      </c>
    </row>
    <row r="6" customFormat="false" ht="15" hidden="false" customHeight="true" outlineLevel="0" collapsed="false">
      <c r="A6" s="2" t="n">
        <v>2004</v>
      </c>
      <c r="B6" s="12" t="n">
        <v>14065165</v>
      </c>
      <c r="C6" s="12" t="n">
        <v>178809</v>
      </c>
      <c r="D6" s="12" t="n">
        <v>161904</v>
      </c>
      <c r="E6" s="12" t="n">
        <v>157980</v>
      </c>
      <c r="F6" s="15" t="n">
        <v>0.0770837385691699</v>
      </c>
      <c r="G6" s="15" t="n">
        <v>0.0747845549964865</v>
      </c>
      <c r="H6" s="23" t="n">
        <v>1093.79989211073</v>
      </c>
      <c r="I6" s="15" t="n">
        <v>0.00195891414200987</v>
      </c>
      <c r="J6" s="12" t="n">
        <v>239105</v>
      </c>
      <c r="K6" s="15" t="n">
        <v>0.0169998005711273</v>
      </c>
      <c r="L6" s="23" t="n">
        <v>102606.372714212</v>
      </c>
      <c r="M6" s="15" t="n">
        <v>0.0689125240508418</v>
      </c>
    </row>
    <row r="7" customFormat="false" ht="15" hidden="false" customHeight="true" outlineLevel="0" collapsed="false">
      <c r="A7" s="2" t="n">
        <v>2005</v>
      </c>
      <c r="B7" s="12" t="n">
        <v>14218675</v>
      </c>
      <c r="C7" s="12" t="n">
        <v>153510</v>
      </c>
      <c r="D7" s="12" t="n">
        <v>187871</v>
      </c>
      <c r="E7" s="12" t="n">
        <v>255374</v>
      </c>
      <c r="F7" s="15" t="n">
        <v>0.0691283963707678</v>
      </c>
      <c r="G7" s="15" t="n">
        <v>0.0671632331139193</v>
      </c>
      <c r="H7" s="23" t="n">
        <v>1116.6583881267</v>
      </c>
      <c r="I7" s="15" t="n">
        <v>0.0208982430706399</v>
      </c>
      <c r="J7" s="12" t="n">
        <v>267184</v>
      </c>
      <c r="K7" s="15" t="n">
        <v>0.018791061755051</v>
      </c>
      <c r="L7" s="23" t="n">
        <v>115165.627661555</v>
      </c>
      <c r="M7" s="15" t="n">
        <v>0.0637440741135678</v>
      </c>
    </row>
    <row r="8" customFormat="false" ht="15" hidden="false" customHeight="true" outlineLevel="0" collapsed="false">
      <c r="A8" s="2" t="n">
        <v>2006</v>
      </c>
      <c r="B8" s="12" t="n">
        <v>14381053</v>
      </c>
      <c r="C8" s="12" t="n">
        <v>162377</v>
      </c>
      <c r="D8" s="12" t="n">
        <v>224169</v>
      </c>
      <c r="E8" s="12" t="n">
        <v>181266</v>
      </c>
      <c r="F8" s="15" t="n">
        <v>0.0670610245383014</v>
      </c>
      <c r="G8" s="15" t="n">
        <v>0.0648328033532387</v>
      </c>
      <c r="H8" s="23" t="n">
        <v>1165.06368876818</v>
      </c>
      <c r="I8" s="15" t="n">
        <v>0.0433483517933272</v>
      </c>
      <c r="J8" s="12" t="n">
        <v>322347</v>
      </c>
      <c r="K8" s="15" t="n">
        <v>0.0224147007872094</v>
      </c>
      <c r="L8" s="23" t="n">
        <v>122385.491369667</v>
      </c>
      <c r="M8" s="15" t="n">
        <v>0.0632243863827678</v>
      </c>
    </row>
    <row r="9" customFormat="false" ht="15" hidden="false" customHeight="true" outlineLevel="0" collapsed="false">
      <c r="A9" s="2" t="n">
        <v>2007</v>
      </c>
      <c r="B9" s="12" t="n">
        <v>14570237</v>
      </c>
      <c r="C9" s="12" t="n">
        <v>189180</v>
      </c>
      <c r="D9" s="12" t="n">
        <v>217235</v>
      </c>
      <c r="E9" s="12" t="n">
        <v>119649</v>
      </c>
      <c r="F9" s="15" t="n">
        <v>0.0709782576267241</v>
      </c>
      <c r="G9" s="15" t="n">
        <v>0.0684207328604167</v>
      </c>
      <c r="H9" s="23" t="n">
        <v>1208.35734780756</v>
      </c>
      <c r="I9" s="15" t="n">
        <v>0.0371599076142754</v>
      </c>
      <c r="J9" s="12" t="n">
        <v>340045</v>
      </c>
      <c r="K9" s="15" t="n">
        <v>0.0233383300491269</v>
      </c>
      <c r="L9" s="23" t="n">
        <v>123190.306880989</v>
      </c>
      <c r="M9" s="15" t="n">
        <v>0.0650573190270032</v>
      </c>
    </row>
    <row r="10" customFormat="false" ht="15" hidden="false" customHeight="true" outlineLevel="0" collapsed="false">
      <c r="A10" s="2" t="n">
        <v>2008</v>
      </c>
      <c r="B10" s="12" t="n">
        <v>14803736</v>
      </c>
      <c r="C10" s="12" t="n">
        <v>233497</v>
      </c>
      <c r="D10" s="12" t="n">
        <v>166386</v>
      </c>
      <c r="E10" s="12" t="n">
        <v>148687</v>
      </c>
      <c r="F10" s="15" t="n">
        <v>0.0756049031420854</v>
      </c>
      <c r="G10" s="15" t="n">
        <v>0.0726107992749494</v>
      </c>
      <c r="H10" s="23" t="n">
        <v>1213.63993771132</v>
      </c>
      <c r="I10" s="15" t="n">
        <v>0.00437171165744139</v>
      </c>
      <c r="J10" s="12" t="n">
        <v>264239</v>
      </c>
      <c r="K10" s="15" t="n">
        <v>0.0178494806986561</v>
      </c>
      <c r="L10" s="23" t="n">
        <v>96826.8701139574</v>
      </c>
      <c r="M10" s="15" t="n">
        <v>0.0729158948789286</v>
      </c>
    </row>
    <row r="11" customFormat="false" ht="15" hidden="false" customHeight="true" outlineLevel="0" collapsed="false">
      <c r="A11" s="2" t="n">
        <v>2009</v>
      </c>
      <c r="B11" s="12" t="n">
        <v>14996927</v>
      </c>
      <c r="C11" s="12" t="n">
        <v>193190</v>
      </c>
      <c r="D11" s="12" t="n">
        <v>100455</v>
      </c>
      <c r="E11" s="12" t="n">
        <v>137022</v>
      </c>
      <c r="F11" s="15" t="n">
        <v>0.0783949028831648</v>
      </c>
      <c r="G11" s="15" t="n">
        <v>0.0758474609665131</v>
      </c>
      <c r="H11" s="23" t="n">
        <v>1164.72111737081</v>
      </c>
      <c r="I11" s="15" t="n">
        <v>-0.0403075235252778</v>
      </c>
      <c r="J11" s="12" t="n">
        <v>160792</v>
      </c>
      <c r="K11" s="15" t="n">
        <v>0.0107216631780631</v>
      </c>
      <c r="L11" s="23" t="n">
        <v>88929.0595540699</v>
      </c>
      <c r="M11" s="15" t="n">
        <v>0.0749663402842692</v>
      </c>
    </row>
    <row r="12" customFormat="false" ht="15" hidden="false" customHeight="true" outlineLevel="0" collapsed="false">
      <c r="A12" s="2" t="n">
        <v>2010</v>
      </c>
      <c r="B12" s="12" t="n">
        <v>15101441</v>
      </c>
      <c r="C12" s="12" t="n">
        <v>104513</v>
      </c>
      <c r="D12" s="12" t="n">
        <v>96330</v>
      </c>
      <c r="E12" s="12" t="n">
        <v>199223</v>
      </c>
      <c r="F12" s="15" t="n">
        <v>0.0715997175568121</v>
      </c>
      <c r="G12" s="15" t="n">
        <v>0.070014931336127</v>
      </c>
      <c r="H12" s="23" t="n">
        <v>1177.92602700369</v>
      </c>
      <c r="I12" s="15" t="n">
        <v>0.0113374003750329</v>
      </c>
      <c r="J12" s="12" t="n">
        <v>140409</v>
      </c>
      <c r="K12" s="15" t="n">
        <v>0.00929772198560389</v>
      </c>
      <c r="L12" s="23" t="n">
        <v>117354.88766819</v>
      </c>
      <c r="M12" s="15" t="n">
        <v>0.0672795047303738</v>
      </c>
    </row>
    <row r="13" customFormat="false" ht="15" hidden="false" customHeight="true" outlineLevel="0" collapsed="false">
      <c r="A13" s="2" t="n">
        <v>2011</v>
      </c>
      <c r="B13" s="12" t="n">
        <v>15172158</v>
      </c>
      <c r="C13" s="12" t="n">
        <v>70800</v>
      </c>
      <c r="D13" s="12" t="n">
        <v>174555</v>
      </c>
      <c r="E13" s="12" t="n">
        <v>109156</v>
      </c>
      <c r="F13" s="15" t="n">
        <v>0.0687500537674912</v>
      </c>
      <c r="G13" s="15" t="n">
        <v>0.0674958614258878</v>
      </c>
      <c r="H13" s="23" t="n">
        <v>1193.43059167502</v>
      </c>
      <c r="I13" s="15" t="n">
        <v>0.0131625962207194</v>
      </c>
      <c r="J13" s="12" t="n">
        <v>231174</v>
      </c>
      <c r="K13" s="15" t="n">
        <v>0.0152367250591511</v>
      </c>
      <c r="L13" s="23" t="n">
        <v>129423.141799774</v>
      </c>
      <c r="M13" s="15" t="n">
        <v>0.0651645945003416</v>
      </c>
    </row>
    <row r="14" customFormat="false" ht="15" hidden="false" customHeight="true" outlineLevel="0" collapsed="false">
      <c r="A14" s="2" t="n">
        <v>2012</v>
      </c>
      <c r="B14" s="12" t="n">
        <v>15295738</v>
      </c>
      <c r="C14" s="12" t="n">
        <v>123576</v>
      </c>
      <c r="D14" s="12" t="n">
        <v>240605</v>
      </c>
      <c r="E14" s="12" t="n">
        <v>187040</v>
      </c>
      <c r="F14" s="15" t="n">
        <v>0.0640717753725355</v>
      </c>
      <c r="G14" s="15" t="n">
        <v>0.0618238608742914</v>
      </c>
      <c r="H14" s="23" t="n">
        <v>1220.38586028189</v>
      </c>
      <c r="I14" s="15" t="n">
        <v>0.0225863730952627</v>
      </c>
      <c r="J14" s="12" t="n">
        <v>330695</v>
      </c>
      <c r="K14" s="15" t="n">
        <v>0.0216200748208422</v>
      </c>
      <c r="L14" s="23" t="n">
        <v>136462.673860666</v>
      </c>
      <c r="M14" s="15" t="n">
        <v>0.0644801270573162</v>
      </c>
    </row>
    <row r="15" customFormat="false" ht="15" hidden="false" customHeight="true" outlineLevel="0" collapsed="false">
      <c r="A15" s="2" t="n">
        <v>2013</v>
      </c>
      <c r="B15" s="12" t="n">
        <v>15504809</v>
      </c>
      <c r="C15" s="12" t="n">
        <v>208972</v>
      </c>
      <c r="D15" s="12" t="n">
        <v>324492</v>
      </c>
      <c r="E15" s="12" t="n">
        <v>207353</v>
      </c>
      <c r="F15" s="15" t="n">
        <v>0.0633453509693793</v>
      </c>
      <c r="G15" s="15" t="n">
        <v>0.0590862740812201</v>
      </c>
      <c r="H15" s="23" t="n">
        <v>1252.2374751388</v>
      </c>
      <c r="I15" s="15" t="n">
        <v>0.0260996262686505</v>
      </c>
      <c r="J15" s="12" t="n">
        <v>425535</v>
      </c>
      <c r="K15" s="15" t="n">
        <v>0.0274453558247638</v>
      </c>
      <c r="L15" s="23" t="n">
        <v>140629.99764824</v>
      </c>
      <c r="M15" s="15" t="n">
        <v>0.0647306644214885</v>
      </c>
    </row>
    <row r="16" customFormat="false" ht="15" hidden="false" customHeight="true" outlineLevel="0" collapsed="false">
      <c r="A16" s="2" t="n">
        <v>2014</v>
      </c>
      <c r="B16" s="12" t="n">
        <v>15787650</v>
      </c>
      <c r="C16" s="12" t="n">
        <v>282308</v>
      </c>
      <c r="D16" s="12" t="n">
        <v>365261</v>
      </c>
      <c r="E16" s="12" t="n">
        <v>253270</v>
      </c>
      <c r="F16" s="15" t="n">
        <v>0.0640833864108104</v>
      </c>
      <c r="G16" s="15" t="n">
        <v>0.0571647955306284</v>
      </c>
      <c r="H16" s="23" t="n">
        <v>1286.6529013195</v>
      </c>
      <c r="I16" s="15" t="n">
        <v>0.0274831466586522</v>
      </c>
      <c r="J16" s="12" t="n">
        <v>493293</v>
      </c>
      <c r="K16" s="15" t="n">
        <v>0.0312454988551178</v>
      </c>
      <c r="L16" s="23" t="n">
        <v>154037.840811385</v>
      </c>
      <c r="M16" s="15" t="n">
        <v>0.0620043423293412</v>
      </c>
    </row>
    <row r="17" customFormat="false" ht="15" hidden="false" customHeight="true" outlineLevel="0" collapsed="false">
      <c r="A17" s="2" t="n">
        <v>2015</v>
      </c>
      <c r="B17" s="12" t="n">
        <v>16110535</v>
      </c>
      <c r="C17" s="12" t="n">
        <v>323415</v>
      </c>
      <c r="D17" s="12" t="n">
        <v>390999</v>
      </c>
      <c r="E17" s="12" t="n">
        <v>321236</v>
      </c>
      <c r="F17" s="15" t="n">
        <v>0.0629865672851743</v>
      </c>
      <c r="G17" s="15" t="n">
        <v>0.0543671673868311</v>
      </c>
      <c r="H17" s="23" t="n">
        <v>1339.47906337985</v>
      </c>
      <c r="I17" s="15" t="n">
        <v>0.0410570418845544</v>
      </c>
      <c r="J17" s="12" t="n">
        <v>542911</v>
      </c>
      <c r="K17" s="15" t="n">
        <v>0.0336991291723087</v>
      </c>
      <c r="L17" s="23" t="n">
        <v>166922.620874662</v>
      </c>
      <c r="M17" s="15" t="n">
        <v>0.0603255722093821</v>
      </c>
    </row>
    <row r="18" customFormat="false" ht="15" hidden="false" customHeight="true" outlineLevel="0" collapsed="false">
      <c r="A18" s="2" t="n">
        <v>2016</v>
      </c>
      <c r="B18" s="12" t="n">
        <v>16448335</v>
      </c>
      <c r="C18" s="12" t="n">
        <v>337791</v>
      </c>
      <c r="D18" s="12" t="n">
        <v>421255</v>
      </c>
      <c r="E18" s="12" t="n">
        <v>264345</v>
      </c>
      <c r="F18" s="15" t="n">
        <v>0.0661997473427734</v>
      </c>
      <c r="G18" s="15" t="n">
        <v>0.0580431500179618</v>
      </c>
      <c r="H18" s="23" t="n">
        <v>1376.36653028372</v>
      </c>
      <c r="I18" s="15" t="n">
        <v>0.0275386662713405</v>
      </c>
      <c r="J18" s="12" t="n">
        <v>615183</v>
      </c>
      <c r="K18" s="15" t="n">
        <v>0.0374009284222385</v>
      </c>
      <c r="L18" s="23" t="n">
        <v>175062.421006123</v>
      </c>
      <c r="M18" s="15" t="n">
        <v>0.0602174382886852</v>
      </c>
    </row>
    <row r="19" customFormat="false" ht="15" hidden="false" customHeight="true" outlineLevel="0" collapsed="false">
      <c r="A19" s="2" t="n">
        <v>2017</v>
      </c>
      <c r="B19" s="12" t="n">
        <v>16826154</v>
      </c>
      <c r="C19" s="12" t="n">
        <v>377810</v>
      </c>
      <c r="D19" s="12" t="n">
        <v>395932</v>
      </c>
      <c r="E19" s="12" t="n">
        <v>319048</v>
      </c>
      <c r="F19" s="15" t="n">
        <v>0.0682590756692329</v>
      </c>
      <c r="G19" s="15" t="n">
        <v>0.0593553511549274</v>
      </c>
      <c r="H19" s="23" t="n">
        <v>1413.54736229744</v>
      </c>
      <c r="I19" s="15" t="n">
        <v>0.0270137577423179</v>
      </c>
      <c r="J19" s="12" t="n">
        <v>616597</v>
      </c>
      <c r="K19" s="15" t="n">
        <v>0.0366451537291291</v>
      </c>
      <c r="L19" s="23" t="n">
        <v>184787.051666453</v>
      </c>
      <c r="M19" s="15" t="n">
        <v>0.0593118603773225</v>
      </c>
    </row>
    <row r="20" customFormat="false" ht="15" hidden="false" customHeight="true" outlineLevel="0" collapsed="false">
      <c r="A20" s="2" t="n">
        <v>2018</v>
      </c>
      <c r="B20" s="12" t="n">
        <v>17196097</v>
      </c>
      <c r="C20" s="12" t="n">
        <v>369931</v>
      </c>
      <c r="D20" s="12" t="n">
        <v>432573</v>
      </c>
      <c r="E20" s="12" t="n">
        <v>388113</v>
      </c>
      <c r="F20" s="15" t="n">
        <v>0.0657917059913334</v>
      </c>
      <c r="G20" s="15" t="n">
        <v>0.0568276746564536</v>
      </c>
      <c r="H20" s="23" t="n">
        <v>1455.35257948066</v>
      </c>
      <c r="I20" s="15" t="n">
        <v>0.0295746844416102</v>
      </c>
      <c r="J20" s="12" t="n">
        <v>669051</v>
      </c>
      <c r="K20" s="15" t="n">
        <v>0.0389071427080226</v>
      </c>
      <c r="L20" s="23" t="n">
        <v>194896.845656677</v>
      </c>
      <c r="M20" s="15" t="n">
        <v>0.0585036502332261</v>
      </c>
    </row>
    <row r="21" customFormat="false" ht="15" hidden="false" customHeight="true" outlineLevel="0" collapsed="false">
      <c r="A21" s="2" t="n">
        <v>2019</v>
      </c>
      <c r="B21" s="12" t="n">
        <v>17569365</v>
      </c>
      <c r="C21" s="12" t="n">
        <v>373525</v>
      </c>
      <c r="D21" s="12" t="n">
        <v>444940</v>
      </c>
      <c r="E21" s="12" t="n">
        <v>344614</v>
      </c>
      <c r="F21" s="15" t="n">
        <v>0.0660913728926952</v>
      </c>
      <c r="G21" s="15" t="n">
        <v>0.0567143542036718</v>
      </c>
      <c r="H21" s="23" t="n">
        <v>1492.51299863927</v>
      </c>
      <c r="I21" s="15" t="n">
        <v>0.0255336196070635</v>
      </c>
      <c r="J21" s="12" t="n">
        <v>732132</v>
      </c>
      <c r="K21" s="15" t="n">
        <v>0.0416709425753293</v>
      </c>
      <c r="L21" s="23" t="n">
        <v>208393.742241872</v>
      </c>
      <c r="M21" s="15" t="n">
        <v>0.0569026984710309</v>
      </c>
    </row>
    <row r="22" customFormat="false" ht="15" hidden="false" customHeight="true" outlineLevel="0" collapsed="false">
      <c r="A22" s="2" t="n">
        <v>2020</v>
      </c>
      <c r="B22" s="12" t="n">
        <v>18024177</v>
      </c>
      <c r="C22" s="12" t="n">
        <v>457068</v>
      </c>
      <c r="D22" s="12" t="n">
        <v>445473</v>
      </c>
      <c r="E22" s="12" t="n">
        <v>397980</v>
      </c>
      <c r="F22" s="15" t="n">
        <v>0.0677560986856392</v>
      </c>
      <c r="G22" s="15" t="n">
        <v>0.0550497012437776</v>
      </c>
      <c r="H22" s="23" t="n">
        <v>1515.03157803764</v>
      </c>
      <c r="I22" s="15" t="n">
        <v>0.0150876939891963</v>
      </c>
      <c r="J22" s="12" t="n">
        <v>713943</v>
      </c>
      <c r="K22" s="15" t="n">
        <v>0.0396102967697221</v>
      </c>
      <c r="L22" s="23" t="n">
        <v>223815.592399716</v>
      </c>
      <c r="M22" s="15" t="n">
        <v>0.0535451761174268</v>
      </c>
    </row>
    <row r="23" customFormat="false" ht="15" hidden="false" customHeight="true" outlineLevel="0" collapsed="false">
      <c r="A23" s="2" t="n">
        <v>2021</v>
      </c>
      <c r="B23" s="12" t="n">
        <v>18442410</v>
      </c>
      <c r="C23" s="12" t="n">
        <v>418229</v>
      </c>
      <c r="D23" s="12" t="n">
        <v>550062</v>
      </c>
      <c r="E23" s="12" t="n">
        <v>697530</v>
      </c>
      <c r="F23" s="15" t="n">
        <v>0.0511618903179478</v>
      </c>
      <c r="G23" s="15" t="n">
        <v>0.0425401433873968</v>
      </c>
      <c r="H23" s="23" t="n">
        <v>1648.60423459865</v>
      </c>
      <c r="I23" s="15" t="n">
        <v>0.0881649323336352</v>
      </c>
      <c r="J23" s="12" t="n">
        <v>834047</v>
      </c>
      <c r="K23" s="15" t="n">
        <v>0.0452244039688956</v>
      </c>
      <c r="L23" s="23" t="n">
        <v>264754.538848141</v>
      </c>
      <c r="M23" s="15" t="n">
        <v>0.048644174957003</v>
      </c>
    </row>
    <row r="24" customFormat="false" ht="15" hidden="false" customHeight="true" outlineLevel="0" collapsed="false">
      <c r="A24" s="2" t="n">
        <v>2022</v>
      </c>
      <c r="B24" s="12" t="n">
        <v>18886524</v>
      </c>
      <c r="C24" s="12" t="n">
        <v>443961</v>
      </c>
      <c r="D24" s="12" t="n">
        <v>733424</v>
      </c>
      <c r="E24" s="12" t="n">
        <v>143252</v>
      </c>
      <c r="F24" s="15" t="n">
        <v>0.0659326534476428</v>
      </c>
      <c r="G24" s="15" t="n">
        <v>0.055345641968129</v>
      </c>
      <c r="H24" s="23" t="n">
        <v>1714.73423795083</v>
      </c>
      <c r="I24" s="15" t="n">
        <v>0.0401127220010312</v>
      </c>
      <c r="J24" s="12" t="n">
        <v>1115478</v>
      </c>
      <c r="K24" s="15" t="n">
        <v>0.0590621122235092</v>
      </c>
      <c r="L24" s="23" t="n">
        <v>252877.09926578</v>
      </c>
      <c r="M24" s="15" t="n">
        <v>0.0527696205886079</v>
      </c>
    </row>
    <row r="25" customFormat="false" ht="15" hidden="false" customHeight="true" outlineLevel="0" collapsed="false">
      <c r="A25" s="2" t="n">
        <v>2023</v>
      </c>
      <c r="B25" s="12" t="n">
        <v>19483632</v>
      </c>
      <c r="C25" s="12" t="n">
        <v>597147</v>
      </c>
      <c r="D25" s="12" t="n">
        <v>551230</v>
      </c>
      <c r="E25" s="12" t="n">
        <v>324609</v>
      </c>
      <c r="F25" s="15" t="n">
        <v>0.0779636683425829</v>
      </c>
      <c r="G25" s="15" t="n">
        <v>0.0615383214447025</v>
      </c>
      <c r="H25" s="23" t="n">
        <v>1737.18200077721</v>
      </c>
      <c r="I25" s="15" t="n">
        <v>0.0130911031748043</v>
      </c>
      <c r="J25" s="12" t="n">
        <v>1062576</v>
      </c>
      <c r="K25" s="15" t="n">
        <v>0.0545368543195642</v>
      </c>
      <c r="L25" s="23" t="n">
        <v>227534.278598042</v>
      </c>
      <c r="M25" s="15" t="n">
        <v>0.0597992572206872</v>
      </c>
    </row>
    <row r="26" customFormat="false" ht="15" hidden="false" customHeight="true" outlineLevel="0" collapsed="false">
      <c r="A26" s="2" t="n">
        <v>2024</v>
      </c>
      <c r="B26" s="12" t="n">
        <v>20179744</v>
      </c>
      <c r="C26" s="12" t="n">
        <v>696107</v>
      </c>
      <c r="D26" s="12" t="n">
        <v>422795</v>
      </c>
      <c r="E26" s="12" t="n">
        <v>536633</v>
      </c>
      <c r="F26" s="15" t="n">
        <v>0.083232084773644</v>
      </c>
      <c r="G26" s="15" t="n">
        <v>0.0635067743891604</v>
      </c>
      <c r="H26" s="23" t="n">
        <v>1758.30089224859</v>
      </c>
      <c r="I26" s="15" t="n">
        <v>0.0121569826661413</v>
      </c>
      <c r="J26" s="12" t="n">
        <v>784377</v>
      </c>
      <c r="K26" s="15" t="n">
        <v>0.0388695218333791</v>
      </c>
      <c r="L26" s="23" t="n">
        <v>227688.035737311</v>
      </c>
      <c r="M26" s="15" t="n">
        <v>0.0611569386138094</v>
      </c>
    </row>
    <row r="27" customFormat="false" ht="15" hidden="false" customHeight="true" outlineLevel="0" collapsed="false">
      <c r="A27" s="2" t="n">
        <v>2025</v>
      </c>
      <c r="B27" s="12" t="n">
        <v>20711273</v>
      </c>
      <c r="C27" s="12" t="n">
        <v>531458</v>
      </c>
      <c r="D27" s="12" t="n">
        <v>412010</v>
      </c>
      <c r="E27" s="12" t="n">
        <v>457316</v>
      </c>
      <c r="F27" s="15" t="n">
        <v>0.0847075532784309</v>
      </c>
      <c r="G27" s="15" t="n">
        <v>0.0690705080777807</v>
      </c>
      <c r="H27" s="23" t="n">
        <v>1765.86107725045</v>
      </c>
      <c r="I27" s="15" t="n">
        <v>0.0042997106099318</v>
      </c>
      <c r="J27" s="12" t="n">
        <v>659304</v>
      </c>
      <c r="K27" s="15" t="n">
        <v>0.0318330988153167</v>
      </c>
      <c r="L27" s="23" t="n">
        <v>230437.659126685</v>
      </c>
      <c r="M27" s="15" t="n">
        <v>0.0617306298060761</v>
      </c>
    </row>
    <row r="28" customFormat="false" ht="15" hidden="false" customHeight="true" outlineLevel="0" collapsed="false">
      <c r="A28" s="2" t="s">
        <v>760</v>
      </c>
      <c r="B28" s="12" t="n">
        <v>20960095</v>
      </c>
      <c r="C28" s="12" t="n">
        <v>248819</v>
      </c>
      <c r="D28" s="12" t="n">
        <v>144813</v>
      </c>
      <c r="E28" s="12" t="n">
        <v>297272</v>
      </c>
      <c r="F28" s="15" t="n">
        <v>0.0814066321589165</v>
      </c>
      <c r="G28" s="15" t="n">
        <v>0.0685545246094406</v>
      </c>
      <c r="H28" s="23" t="n">
        <v>1800.62317743921</v>
      </c>
      <c r="I28" s="15" t="n">
        <v>0.0101807170405978</v>
      </c>
      <c r="J28" s="12" t="n">
        <v>553681</v>
      </c>
      <c r="K28" s="15" t="n">
        <v>0.0264159585154552</v>
      </c>
      <c r="L28" s="23" t="n">
        <v>232619.720725264</v>
      </c>
      <c r="M28" s="15" t="n">
        <v>0.0623732440942935</v>
      </c>
    </row>
    <row r="29" customFormat="false" ht="15" hidden="false" customHeight="true" outlineLevel="0" collapsed="false">
      <c r="A29" s="2" t="s">
        <v>761</v>
      </c>
      <c r="B29" s="12" t="n">
        <v>21112940</v>
      </c>
      <c r="C29" s="12" t="n">
        <v>401664</v>
      </c>
      <c r="D29" s="12"/>
      <c r="E29" s="12" t="n">
        <v>419978</v>
      </c>
      <c r="F29" s="15" t="n">
        <v>0.083098175427013</v>
      </c>
      <c r="G29" s="15" t="n">
        <v>0.0692386225222845</v>
      </c>
      <c r="H29" s="23" t="n">
        <v>1783.20281196333</v>
      </c>
      <c r="I29" s="15" t="n">
        <v>0.00982055436653388</v>
      </c>
      <c r="J29" s="12"/>
      <c r="K29" s="15"/>
      <c r="L29" s="23" t="n">
        <v>233555.944537629</v>
      </c>
      <c r="M29" s="15" t="n">
        <v>0.0622142342733817</v>
      </c>
    </row>
    <row r="30" customFormat="false" ht="15" hidden="false" customHeight="true" outlineLevel="0" collapsed="false">
      <c r="A30" s="2" t="n">
        <v>2027</v>
      </c>
      <c r="B30" s="12" t="n">
        <v>21444255</v>
      </c>
      <c r="C30" s="12" t="n">
        <v>331315</v>
      </c>
      <c r="D30" s="12"/>
      <c r="E30" s="12" t="n">
        <v>390632</v>
      </c>
      <c r="F30" s="15" t="n">
        <v>0.0790482398898912</v>
      </c>
      <c r="G30" s="15" t="n">
        <v>0.0688915736876434</v>
      </c>
      <c r="H30" s="23" t="n">
        <v>1810.29079612653</v>
      </c>
      <c r="I30" s="15" t="n">
        <v>0.0151906356256662</v>
      </c>
      <c r="J30" s="12"/>
      <c r="K30" s="15"/>
      <c r="L30" s="23" t="n">
        <v>240185.827601552</v>
      </c>
      <c r="M30" s="15" t="n">
        <v>0.0614866604676902</v>
      </c>
    </row>
    <row r="31" customFormat="false" ht="15" hidden="false" customHeight="true" outlineLevel="0" collapsed="false">
      <c r="A31" s="2" t="n">
        <v>2028</v>
      </c>
      <c r="B31" s="12" t="n">
        <v>21702995</v>
      </c>
      <c r="C31" s="12" t="n">
        <v>258740</v>
      </c>
      <c r="D31" s="12"/>
      <c r="E31" s="12" t="n">
        <v>331585</v>
      </c>
      <c r="F31" s="15" t="n">
        <v>0.0747493821659177</v>
      </c>
      <c r="G31" s="15" t="n">
        <v>0.0675477860725622</v>
      </c>
      <c r="H31" s="23" t="n">
        <v>1847.74774850645</v>
      </c>
      <c r="I31" s="15" t="n">
        <v>0.0206911245751611</v>
      </c>
      <c r="J31" s="12"/>
      <c r="K31" s="15"/>
      <c r="L31" s="23" t="n">
        <v>246675.85451076</v>
      </c>
      <c r="M31" s="15" t="n">
        <v>0.0611749348718906</v>
      </c>
    </row>
    <row r="32" customFormat="false" ht="15" hidden="false" customHeight="true" outlineLevel="0" collapsed="false">
      <c r="A32" s="2" t="n">
        <v>2029</v>
      </c>
      <c r="B32" s="12" t="n">
        <v>21958670</v>
      </c>
      <c r="C32" s="12" t="n">
        <v>255675</v>
      </c>
      <c r="D32" s="12"/>
      <c r="E32" s="12" t="n">
        <v>260109</v>
      </c>
      <c r="F32" s="15" t="n">
        <v>0.0736770907800882</v>
      </c>
      <c r="G32" s="15" t="n">
        <v>0.066590944593773</v>
      </c>
      <c r="H32" s="23" t="n">
        <v>1884.33376427986</v>
      </c>
      <c r="I32" s="15" t="n">
        <v>0.019800330322674</v>
      </c>
      <c r="J32" s="12"/>
      <c r="K32" s="15"/>
      <c r="L32" s="23" t="n">
        <v>252460.92119416</v>
      </c>
      <c r="M32" s="15" t="n">
        <v>0.0609779501952785</v>
      </c>
    </row>
    <row r="33" customFormat="false" ht="15" hidden="false" customHeight="true" outlineLevel="0" collapsed="false">
      <c r="A33" s="2" t="n">
        <v>2030</v>
      </c>
      <c r="B33" s="12" t="n">
        <v>22217186</v>
      </c>
      <c r="C33" s="12" t="n">
        <v>258516</v>
      </c>
      <c r="D33" s="12"/>
      <c r="E33" s="12" t="n">
        <v>268129</v>
      </c>
      <c r="F33" s="15" t="n">
        <v>0.0723871040058809</v>
      </c>
      <c r="G33" s="15" t="n">
        <v>0.0650662264217217</v>
      </c>
      <c r="H33" s="23" t="n">
        <v>1919.62063097153</v>
      </c>
      <c r="I33" s="15" t="n">
        <v>0.0187264418653375</v>
      </c>
      <c r="J33" s="12"/>
      <c r="K33" s="15"/>
      <c r="L33" s="23" t="n">
        <v>257167.479672131</v>
      </c>
      <c r="M33" s="15" t="n">
        <v>0.0609747503125819</v>
      </c>
    </row>
    <row r="34" customFormat="false" ht="15" hidden="false" customHeight="true" outlineLevel="0" collapsed="false">
      <c r="A34" s="2" t="n">
        <v>2031</v>
      </c>
      <c r="B34" s="12" t="n">
        <v>22408064</v>
      </c>
      <c r="C34" s="12" t="n">
        <v>190878</v>
      </c>
      <c r="D34" s="12"/>
      <c r="E34" s="12" t="n">
        <v>194445</v>
      </c>
      <c r="F34" s="15" t="n">
        <v>0.071611330050646</v>
      </c>
      <c r="G34" s="15" t="n">
        <v>0.0640387684617505</v>
      </c>
      <c r="H34" s="23" t="n">
        <v>1960.39463691646</v>
      </c>
      <c r="I34" s="15" t="n">
        <v>0.0195590937185809</v>
      </c>
      <c r="J34" s="12"/>
      <c r="K34" s="15"/>
      <c r="L34" s="23" t="n">
        <v>260891.138941505</v>
      </c>
      <c r="M34" s="15" t="n">
        <v>0.060978171507302</v>
      </c>
    </row>
    <row r="36" customFormat="false" ht="15" hidden="false" customHeight="true" outlineLevel="0" collapsed="false">
      <c r="A36" s="17" t="s">
        <v>762</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1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9" min="1" style="1" width="15"/>
  </cols>
  <sheetData>
    <row r="1" customFormat="false" ht="15" hidden="false" customHeight="true" outlineLevel="0" collapsed="false">
      <c r="A1" s="2" t="s">
        <v>763</v>
      </c>
    </row>
    <row r="2" customFormat="false" ht="15" hidden="false" customHeight="true" outlineLevel="0" collapsed="false">
      <c r="A2" s="17" t="s">
        <v>764</v>
      </c>
    </row>
    <row r="3" customFormat="false" ht="32.25" hidden="false" customHeight="true" outlineLevel="0" collapsed="false">
      <c r="A3" s="6" t="s">
        <v>765</v>
      </c>
      <c r="B3" s="6" t="s">
        <v>766</v>
      </c>
      <c r="C3" s="6" t="s">
        <v>767</v>
      </c>
      <c r="D3" s="6" t="s">
        <v>768</v>
      </c>
      <c r="E3" s="6" t="s">
        <v>769</v>
      </c>
      <c r="F3" s="6" t="s">
        <v>770</v>
      </c>
      <c r="G3" s="6" t="s">
        <v>771</v>
      </c>
      <c r="H3" s="6" t="s">
        <v>772</v>
      </c>
      <c r="I3" s="6" t="s">
        <v>773</v>
      </c>
    </row>
    <row r="4" customFormat="false" ht="15" hidden="false" customHeight="true" outlineLevel="0" collapsed="false">
      <c r="A4" s="2" t="n">
        <v>2016</v>
      </c>
      <c r="B4" s="15" t="n">
        <v>0.0149858</v>
      </c>
      <c r="C4" s="15" t="n">
        <v>0.01663905</v>
      </c>
      <c r="D4" s="15" t="n">
        <v>0.04852258</v>
      </c>
      <c r="E4" s="10" t="n">
        <v>135.67747463</v>
      </c>
      <c r="F4" s="18" t="n">
        <f aca="false">IF(E4="","",E4/$E$4*100)</f>
        <v>100</v>
      </c>
      <c r="G4" s="5" t="s">
        <v>774</v>
      </c>
      <c r="H4" s="13" t="n">
        <f aca="false">IF(A4&lt;=2025,B4,"")</f>
        <v>0.0149858</v>
      </c>
      <c r="I4" s="13" t="str">
        <f aca="false">IF(A4&gt;=2026,B4,"")</f>
        <v/>
      </c>
    </row>
    <row r="5" customFormat="false" ht="15" hidden="false" customHeight="true" outlineLevel="0" collapsed="false">
      <c r="A5" s="2" t="n">
        <v>2017</v>
      </c>
      <c r="B5" s="15" t="n">
        <v>0.01686709</v>
      </c>
      <c r="C5" s="15" t="n">
        <v>0.0191307</v>
      </c>
      <c r="D5" s="15" t="n">
        <v>0.0501092</v>
      </c>
      <c r="E5" s="10" t="n">
        <v>135.59872716</v>
      </c>
      <c r="F5" s="18" t="n">
        <f aca="false">IF(E5="","",E5/$E$4*100)</f>
        <v>99.9419598056238</v>
      </c>
      <c r="G5" s="5" t="s">
        <v>774</v>
      </c>
      <c r="H5" s="13" t="n">
        <f aca="false">IF(A5&lt;=2025,B5,"")</f>
        <v>0.01686709</v>
      </c>
      <c r="I5" s="13" t="str">
        <f aca="false">IF(A5&gt;=2026,B5,"")</f>
        <v/>
      </c>
    </row>
    <row r="6" customFormat="false" ht="15" hidden="false" customHeight="true" outlineLevel="0" collapsed="false">
      <c r="A6" s="2" t="n">
        <v>2018</v>
      </c>
      <c r="B6" s="15" t="n">
        <v>0.01575162</v>
      </c>
      <c r="C6" s="15" t="n">
        <v>0.03557689</v>
      </c>
      <c r="D6" s="15" t="n">
        <v>0.04923149</v>
      </c>
      <c r="E6" s="10" t="n">
        <v>142.93640229</v>
      </c>
      <c r="F6" s="18" t="n">
        <f aca="false">IF(E6="","",E6/$E$4*100)</f>
        <v>105.350134707176</v>
      </c>
      <c r="G6" s="5" t="s">
        <v>774</v>
      </c>
      <c r="H6" s="13" t="n">
        <f aca="false">IF(A6&lt;=2025,B6,"")</f>
        <v>0.01575162</v>
      </c>
      <c r="I6" s="13" t="str">
        <f aca="false">IF(A6&gt;=2026,B6,"")</f>
        <v/>
      </c>
    </row>
    <row r="7" customFormat="false" ht="15" hidden="false" customHeight="true" outlineLevel="0" collapsed="false">
      <c r="A7" s="2" t="n">
        <v>2019</v>
      </c>
      <c r="B7" s="15" t="n">
        <v>0.0159728</v>
      </c>
      <c r="C7" s="15" t="n">
        <v>0.02837623</v>
      </c>
      <c r="D7" s="15" t="n">
        <v>0.0475775</v>
      </c>
      <c r="E7" s="10" t="n">
        <v>150.61849736</v>
      </c>
      <c r="F7" s="18" t="n">
        <f aca="false">IF(E7="","",E7/$E$4*100)</f>
        <v>111.012161577111</v>
      </c>
      <c r="G7" s="5" t="s">
        <v>774</v>
      </c>
      <c r="H7" s="13" t="n">
        <f aca="false">IF(A7&lt;=2025,B7,"")</f>
        <v>0.0159728</v>
      </c>
      <c r="I7" s="13" t="str">
        <f aca="false">IF(A7&gt;=2026,B7,"")</f>
        <v/>
      </c>
    </row>
    <row r="8" customFormat="false" ht="15" hidden="false" customHeight="true" outlineLevel="0" collapsed="false">
      <c r="A8" s="2" t="n">
        <v>2020</v>
      </c>
      <c r="B8" s="15" t="n">
        <v>0.01823612</v>
      </c>
      <c r="C8" s="15" t="n">
        <v>-0.01726645</v>
      </c>
      <c r="D8" s="15" t="n">
        <v>0.04376953</v>
      </c>
      <c r="E8" s="10" t="n">
        <v>153.09904068</v>
      </c>
      <c r="F8" s="18" t="n">
        <f aca="false">IF(E8="","",E8/$E$4*100)</f>
        <v>112.840426236934</v>
      </c>
      <c r="G8" s="5" t="s">
        <v>774</v>
      </c>
      <c r="H8" s="13" t="n">
        <f aca="false">IF(A8&lt;=2025,B8,"")</f>
        <v>0.01823612</v>
      </c>
      <c r="I8" s="13" t="str">
        <f aca="false">IF(A8&gt;=2026,B8,"")</f>
        <v/>
      </c>
    </row>
    <row r="9" customFormat="false" ht="15" hidden="false" customHeight="true" outlineLevel="0" collapsed="false">
      <c r="A9" s="2" t="n">
        <v>2021</v>
      </c>
      <c r="B9" s="15" t="n">
        <v>0.01970652</v>
      </c>
      <c r="C9" s="15" t="n">
        <v>0.15341472</v>
      </c>
      <c r="D9" s="15" t="n">
        <v>0.03788439</v>
      </c>
      <c r="E9" s="10" t="n">
        <v>201.21686849</v>
      </c>
      <c r="F9" s="18" t="n">
        <f aca="false">IF(E9="","",E9/$E$4*100)</f>
        <v>148.305287254741</v>
      </c>
      <c r="G9" s="5" t="s">
        <v>774</v>
      </c>
      <c r="H9" s="13" t="n">
        <f aca="false">IF(A9&lt;=2025,B9,"")</f>
        <v>0.01970652</v>
      </c>
      <c r="I9" s="13" t="str">
        <f aca="false">IF(A9&gt;=2026,B9,"")</f>
        <v/>
      </c>
    </row>
    <row r="10" customFormat="false" ht="15" hidden="false" customHeight="true" outlineLevel="0" collapsed="false">
      <c r="A10" s="2" t="n">
        <v>2022</v>
      </c>
      <c r="B10" s="15" t="n">
        <v>0.02073482</v>
      </c>
      <c r="C10" s="15" t="n">
        <v>0.04550639</v>
      </c>
      <c r="D10" s="15" t="n">
        <v>0.05048362</v>
      </c>
      <c r="E10" s="10" t="n">
        <v>152.31028919</v>
      </c>
      <c r="F10" s="18" t="n">
        <f aca="false">IF(E10="","",E10/$E$4*100)</f>
        <v>112.259083245291</v>
      </c>
      <c r="G10" s="5" t="s">
        <v>774</v>
      </c>
      <c r="H10" s="13" t="n">
        <f aca="false">IF(A10&lt;=2025,B10,"")</f>
        <v>0.02073482</v>
      </c>
      <c r="I10" s="13" t="str">
        <f aca="false">IF(A10&gt;=2026,B10,"")</f>
        <v/>
      </c>
    </row>
    <row r="11" customFormat="false" ht="15" hidden="false" customHeight="true" outlineLevel="0" collapsed="false">
      <c r="A11" s="2" t="n">
        <v>2023</v>
      </c>
      <c r="B11" s="15" t="n">
        <v>0.02301904</v>
      </c>
      <c r="C11" s="15" t="n">
        <v>-0.00280259</v>
      </c>
      <c r="D11" s="15" t="n">
        <v>0.05662173</v>
      </c>
      <c r="E11" s="10" t="n">
        <v>136.36756699</v>
      </c>
      <c r="F11" s="18" t="n">
        <f aca="false">IF(E11="","",E11/$E$4*100)</f>
        <v>100.508627067155</v>
      </c>
      <c r="G11" s="5" t="s">
        <v>774</v>
      </c>
      <c r="H11" s="13" t="n">
        <f aca="false">IF(A11&lt;=2025,B11,"")</f>
        <v>0.02301904</v>
      </c>
      <c r="I11" s="13" t="str">
        <f aca="false">IF(A11&gt;=2026,B11,"")</f>
        <v/>
      </c>
    </row>
    <row r="12" customFormat="false" ht="15" hidden="false" customHeight="true" outlineLevel="0" collapsed="false">
      <c r="A12" s="2" t="n">
        <v>2024</v>
      </c>
      <c r="B12" s="15" t="n">
        <v>0.0283895</v>
      </c>
      <c r="C12" s="15" t="n">
        <v>0.0053018</v>
      </c>
      <c r="D12" s="15" t="n">
        <v>0.05208783</v>
      </c>
      <c r="E12" s="10" t="n">
        <v>148.0743303</v>
      </c>
      <c r="F12" s="18" t="n">
        <f aca="false">IF(E12="","",E12/$E$4*100)</f>
        <v>109.137003547425</v>
      </c>
      <c r="G12" s="5" t="s">
        <v>774</v>
      </c>
      <c r="H12" s="13" t="n">
        <f aca="false">IF(A12&lt;=2025,B12,"")</f>
        <v>0.0283895</v>
      </c>
      <c r="I12" s="13" t="str">
        <f aca="false">IF(A12&gt;=2026,B12,"")</f>
        <v/>
      </c>
    </row>
    <row r="13" customFormat="false" ht="15" hidden="false" customHeight="true" outlineLevel="0" collapsed="false">
      <c r="A13" s="2" t="n">
        <v>2025</v>
      </c>
      <c r="B13" s="15" t="n">
        <v>0.02216701</v>
      </c>
      <c r="C13" s="15" t="n">
        <v>0.003249</v>
      </c>
      <c r="D13" s="15" t="n">
        <v>0.05229724</v>
      </c>
      <c r="E13" s="10" t="n">
        <v>147.95930924</v>
      </c>
      <c r="F13" s="18" t="n">
        <f aca="false">IF(E13="","",E13/$E$4*100)</f>
        <v>109.052228192995</v>
      </c>
      <c r="G13" s="5" t="s">
        <v>774</v>
      </c>
      <c r="H13" s="13" t="n">
        <f aca="false">IF(A13&lt;=2025,B13,"")</f>
        <v>0.02216701</v>
      </c>
      <c r="I13" s="13" t="str">
        <f aca="false">IF(A13&gt;=2026,B13,"")</f>
        <v/>
      </c>
    </row>
    <row r="14" customFormat="false" ht="15" hidden="false" customHeight="true" outlineLevel="0" collapsed="false">
      <c r="A14" s="2" t="n">
        <v>2026</v>
      </c>
      <c r="B14" s="15" t="n">
        <v>0.01712276</v>
      </c>
      <c r="C14" s="15" t="n">
        <v>0.02318629</v>
      </c>
      <c r="D14" s="15"/>
      <c r="E14" s="10"/>
      <c r="F14" s="18" t="str">
        <f aca="false">IF(E14="","",E14/$E$4*100)</f>
        <v/>
      </c>
      <c r="G14" s="5" t="s">
        <v>775</v>
      </c>
      <c r="H14" s="13" t="str">
        <f aca="false">IF(A14&lt;=2025,B14,"")</f>
        <v/>
      </c>
      <c r="I14" s="13" t="n">
        <f aca="false">IF(A14&gt;=2026,B14,"")</f>
        <v>0.01712276</v>
      </c>
    </row>
    <row r="15" customFormat="false" ht="15" hidden="false" customHeight="true" outlineLevel="0" collapsed="false">
      <c r="A15" s="2" t="n">
        <v>2027</v>
      </c>
      <c r="B15" s="15" t="n">
        <v>0.013</v>
      </c>
      <c r="C15" s="15" t="n">
        <v>0.02469338</v>
      </c>
      <c r="D15" s="15"/>
      <c r="E15" s="10"/>
      <c r="F15" s="18" t="str">
        <f aca="false">IF(E15="","",E15/$E$4*100)</f>
        <v/>
      </c>
      <c r="G15" s="5" t="s">
        <v>775</v>
      </c>
      <c r="H15" s="13" t="str">
        <f aca="false">IF(A15&lt;=2025,B15,"")</f>
        <v/>
      </c>
      <c r="I15" s="13" t="n">
        <f aca="false">IF(A15&gt;=2026,B15,"")</f>
        <v>0.013</v>
      </c>
    </row>
    <row r="16" customFormat="false" ht="15" hidden="false" customHeight="true" outlineLevel="0" collapsed="false">
      <c r="A16" s="2" t="n">
        <v>2028</v>
      </c>
      <c r="B16" s="15" t="n">
        <v>0.012</v>
      </c>
      <c r="C16" s="15" t="n">
        <v>0.03493457</v>
      </c>
      <c r="D16" s="15"/>
      <c r="E16" s="10"/>
      <c r="F16" s="18" t="str">
        <f aca="false">IF(E16="","",E16/$E$4*100)</f>
        <v/>
      </c>
      <c r="G16" s="5" t="s">
        <v>775</v>
      </c>
      <c r="H16" s="13" t="str">
        <f aca="false">IF(A16&lt;=2025,B16,"")</f>
        <v/>
      </c>
      <c r="I16" s="13" t="n">
        <f aca="false">IF(A16&gt;=2026,B16,"")</f>
        <v>0.012</v>
      </c>
    </row>
    <row r="17" customFormat="false" ht="15" hidden="false" customHeight="true" outlineLevel="0" collapsed="false">
      <c r="A17" s="2" t="n">
        <v>2029</v>
      </c>
      <c r="B17" s="15" t="n">
        <v>0.013</v>
      </c>
      <c r="C17" s="15" t="n">
        <v>0.03015955</v>
      </c>
      <c r="D17" s="15"/>
      <c r="E17" s="10"/>
      <c r="F17" s="18" t="str">
        <f aca="false">IF(E17="","",E17/$E$4*100)</f>
        <v/>
      </c>
      <c r="G17" s="5" t="s">
        <v>775</v>
      </c>
      <c r="H17" s="13" t="str">
        <f aca="false">IF(A17&lt;=2025,B17,"")</f>
        <v/>
      </c>
      <c r="I17" s="13" t="n">
        <f aca="false">IF(A17&gt;=2026,B17,"")</f>
        <v>0.013</v>
      </c>
    </row>
    <row r="18" customFormat="false" ht="15" hidden="false" customHeight="true" outlineLevel="0" collapsed="false">
      <c r="A18" s="2" t="n">
        <v>2030</v>
      </c>
      <c r="B18" s="15" t="n">
        <v>0.013</v>
      </c>
      <c r="C18" s="15" t="n">
        <v>0.02999998</v>
      </c>
      <c r="D18" s="15"/>
      <c r="E18" s="10"/>
      <c r="F18" s="18" t="str">
        <f aca="false">IF(E18="","",E18/$E$4*100)</f>
        <v/>
      </c>
      <c r="G18" s="5" t="s">
        <v>775</v>
      </c>
      <c r="H18" s="13" t="str">
        <f aca="false">IF(A18&lt;=2025,B18,"")</f>
        <v/>
      </c>
      <c r="I18" s="13" t="n">
        <f aca="false">IF(A18&gt;=2026,B18,"")</f>
        <v>0.013</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2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12.71"/>
  </cols>
  <sheetData>
    <row r="1" customFormat="false" ht="15" hidden="false" customHeight="true" outlineLevel="0" collapsed="false">
      <c r="A1" s="24" t="s">
        <v>776</v>
      </c>
    </row>
    <row r="2" customFormat="false" ht="15" hidden="false" customHeight="true" outlineLevel="0" collapsed="false">
      <c r="A2" s="25" t="s">
        <v>777</v>
      </c>
    </row>
    <row r="3" customFormat="false" ht="15" hidden="false" customHeight="true" outlineLevel="0" collapsed="false">
      <c r="A3" s="24" t="s">
        <v>765</v>
      </c>
      <c r="B3" s="24" t="s">
        <v>778</v>
      </c>
      <c r="C3" s="24" t="s">
        <v>779</v>
      </c>
      <c r="D3" s="24" t="s">
        <v>615</v>
      </c>
      <c r="E3" s="24" t="s">
        <v>616</v>
      </c>
      <c r="F3" s="24" t="s">
        <v>780</v>
      </c>
      <c r="G3" s="24" t="s">
        <v>612</v>
      </c>
    </row>
    <row r="4" customFormat="false" ht="15" hidden="false" customHeight="true" outlineLevel="0" collapsed="false">
      <c r="A4" s="25" t="n">
        <v>2010</v>
      </c>
      <c r="B4" s="26" t="n">
        <v>97.892</v>
      </c>
      <c r="C4" s="26" t="n">
        <v>218.076</v>
      </c>
      <c r="D4" s="27" t="n">
        <f aca="false">B4/$B$10*100</f>
        <v>87.7498700227684</v>
      </c>
      <c r="E4" s="27" t="n">
        <f aca="false">C4/$C$10*100</f>
        <v>90.8631070186038</v>
      </c>
    </row>
    <row r="5" customFormat="false" ht="15" hidden="false" customHeight="true" outlineLevel="0" collapsed="false">
      <c r="A5" s="25" t="n">
        <v>2011</v>
      </c>
      <c r="B5" s="26" t="n">
        <v>100.133</v>
      </c>
      <c r="C5" s="26" t="n">
        <v>224.923</v>
      </c>
      <c r="D5" s="27" t="n">
        <f aca="false">B5/$B$10*100</f>
        <v>89.7586905466215</v>
      </c>
      <c r="E5" s="27" t="n">
        <f aca="false">C5/$C$10*100</f>
        <v>93.7159642507448</v>
      </c>
      <c r="F5" s="28" t="n">
        <f aca="false">B5/B4-1</f>
        <v>0.0228925754913578</v>
      </c>
      <c r="G5" s="28" t="n">
        <f aca="false">C5/C4-1</f>
        <v>0.0313973110291825</v>
      </c>
    </row>
    <row r="6" customFormat="false" ht="15" hidden="false" customHeight="true" outlineLevel="0" collapsed="false">
      <c r="A6" s="25" t="n">
        <v>2012</v>
      </c>
      <c r="B6" s="26" t="n">
        <v>103.217</v>
      </c>
      <c r="C6" s="26" t="n">
        <v>229.586</v>
      </c>
      <c r="D6" s="27" t="n">
        <f aca="false">B6/$B$10*100</f>
        <v>92.5231718030083</v>
      </c>
      <c r="E6" s="27" t="n">
        <f aca="false">C6/$C$10*100</f>
        <v>95.6588404408242</v>
      </c>
      <c r="F6" s="28" t="n">
        <f aca="false">B6/B5-1</f>
        <v>0.030799037280417</v>
      </c>
      <c r="G6" s="28" t="n">
        <f aca="false">C6/C5-1</f>
        <v>0.0207315392378726</v>
      </c>
    </row>
    <row r="7" customFormat="false" ht="15" hidden="false" customHeight="true" outlineLevel="0" collapsed="false">
      <c r="A7" s="25" t="n">
        <v>2013</v>
      </c>
      <c r="B7" s="26" t="n">
        <v>105.1</v>
      </c>
      <c r="C7" s="26" t="n">
        <v>232.952</v>
      </c>
      <c r="D7" s="27" t="n">
        <f aca="false">B7/$B$10*100</f>
        <v>94.2110830240771</v>
      </c>
      <c r="E7" s="27" t="n">
        <f aca="false">C7/$C$10*100</f>
        <v>97.0613112226829</v>
      </c>
      <c r="F7" s="28" t="n">
        <f aca="false">B7/B6-1</f>
        <v>0.0182431188660783</v>
      </c>
      <c r="G7" s="28" t="n">
        <f aca="false">C7/C6-1</f>
        <v>0.0146611727195909</v>
      </c>
    </row>
    <row r="8" customFormat="false" ht="15" hidden="false" customHeight="true" outlineLevel="0" collapsed="false">
      <c r="A8" s="25" t="n">
        <v>2014</v>
      </c>
      <c r="B8" s="26" t="n">
        <v>108.292</v>
      </c>
      <c r="C8" s="26" t="n">
        <v>236.715</v>
      </c>
      <c r="D8" s="27" t="n">
        <f aca="false">B8/$B$10*100</f>
        <v>97.0723749081195</v>
      </c>
      <c r="E8" s="27" t="n">
        <f aca="false">C8/$C$10*100</f>
        <v>98.6291952250995</v>
      </c>
      <c r="F8" s="28" t="n">
        <f aca="false">B8/B7-1</f>
        <v>0.0303710751665081</v>
      </c>
      <c r="G8" s="28" t="n">
        <f aca="false">C8/C7-1</f>
        <v>0.016153542360658</v>
      </c>
    </row>
    <row r="9" customFormat="false" ht="15" hidden="false" customHeight="true" outlineLevel="0" collapsed="false">
      <c r="A9" s="25" t="n">
        <v>2015</v>
      </c>
      <c r="B9" s="26" t="n">
        <v>110.35</v>
      </c>
      <c r="C9" s="26" t="n">
        <v>237.002</v>
      </c>
      <c r="D9" s="27" t="n">
        <f aca="false">B9/$B$10*100</f>
        <v>98.9171552017784</v>
      </c>
      <c r="E9" s="27" t="n">
        <f aca="false">C9/$C$10*100</f>
        <v>98.7487760671653</v>
      </c>
      <c r="F9" s="28" t="n">
        <f aca="false">B9/B8-1</f>
        <v>0.0190041739001956</v>
      </c>
      <c r="G9" s="28" t="n">
        <f aca="false">C9/C8-1</f>
        <v>0.0012124284477113</v>
      </c>
    </row>
    <row r="10" customFormat="false" ht="15" hidden="false" customHeight="true" outlineLevel="0" collapsed="false">
      <c r="A10" s="25" t="n">
        <v>2016</v>
      </c>
      <c r="B10" s="26" t="n">
        <v>111.558</v>
      </c>
      <c r="C10" s="26" t="n">
        <v>240.005</v>
      </c>
      <c r="D10" s="27" t="n">
        <f aca="false">B10/$B$10*100</f>
        <v>100</v>
      </c>
      <c r="E10" s="27" t="n">
        <f aca="false">C10/$C$10*100</f>
        <v>100</v>
      </c>
      <c r="F10" s="28" t="n">
        <f aca="false">B10/B9-1</f>
        <v>0.010946986859991</v>
      </c>
      <c r="G10" s="28" t="n">
        <f aca="false">C10/C9-1</f>
        <v>0.0126707791495431</v>
      </c>
    </row>
    <row r="11" customFormat="false" ht="15" hidden="false" customHeight="true" outlineLevel="0" collapsed="false">
      <c r="A11" s="25" t="n">
        <v>2017</v>
      </c>
      <c r="B11" s="26" t="n">
        <v>114.008</v>
      </c>
      <c r="C11" s="26" t="n">
        <v>245.121</v>
      </c>
      <c r="D11" s="27" t="n">
        <f aca="false">B11/$B$10*100</f>
        <v>102.196167016261</v>
      </c>
      <c r="E11" s="27" t="n">
        <f aca="false">C11/$C$10*100</f>
        <v>102.13162225787</v>
      </c>
      <c r="F11" s="28" t="n">
        <f aca="false">B11/B10-1</f>
        <v>0.021961670162606</v>
      </c>
      <c r="G11" s="28" t="n">
        <f aca="false">C11/C10-1</f>
        <v>0.0213162225786963</v>
      </c>
    </row>
    <row r="12" customFormat="false" ht="15" hidden="false" customHeight="true" outlineLevel="0" collapsed="false">
      <c r="A12" s="25" t="n">
        <v>2018</v>
      </c>
      <c r="B12" s="26" t="n">
        <v>118.8</v>
      </c>
      <c r="C12" s="26" t="n">
        <v>251.1</v>
      </c>
      <c r="D12" s="27" t="n">
        <f aca="false">B12/$B$10*100</f>
        <v>106.491690421126</v>
      </c>
      <c r="E12" s="27" t="n">
        <f aca="false">C12/$C$10*100</f>
        <v>104.622820357909</v>
      </c>
      <c r="F12" s="28" t="n">
        <f aca="false">B12/B11-1</f>
        <v>0.0420321380955722</v>
      </c>
      <c r="G12" s="28" t="n">
        <f aca="false">C12/C11-1</f>
        <v>0.0243920349541655</v>
      </c>
    </row>
    <row r="13" customFormat="false" ht="15" hidden="false" customHeight="true" outlineLevel="0" collapsed="false">
      <c r="A13" s="25" t="n">
        <v>2019</v>
      </c>
      <c r="B13" s="26" t="n">
        <v>124.892</v>
      </c>
      <c r="C13" s="26" t="n">
        <v>255.653</v>
      </c>
      <c r="D13" s="27" t="n">
        <f aca="false">B13/$B$10*100</f>
        <v>111.952526936661</v>
      </c>
      <c r="E13" s="27" t="n">
        <f aca="false">C13/$C$10*100</f>
        <v>106.519864169496</v>
      </c>
      <c r="F13" s="28" t="n">
        <f aca="false">B13/B12-1</f>
        <v>0.0512794612794614</v>
      </c>
      <c r="G13" s="28" t="n">
        <f aca="false">C13/C12-1</f>
        <v>0.0181322182397452</v>
      </c>
    </row>
    <row r="14" customFormat="false" ht="15" hidden="false" customHeight="true" outlineLevel="0" collapsed="false">
      <c r="A14" s="25" t="n">
        <v>2020</v>
      </c>
      <c r="B14" s="26" t="n">
        <v>127.975</v>
      </c>
      <c r="C14" s="26" t="n">
        <v>258.856</v>
      </c>
      <c r="D14" s="27" t="n">
        <f aca="false">B14/$B$10*100</f>
        <v>114.716111798347</v>
      </c>
      <c r="E14" s="27" t="n">
        <f aca="false">C14/$C$10*100</f>
        <v>107.85441969959</v>
      </c>
      <c r="F14" s="28" t="n">
        <f aca="false">B14/B13-1</f>
        <v>0.0246853281234987</v>
      </c>
      <c r="G14" s="28" t="n">
        <f aca="false">C14/C13-1</f>
        <v>0.0125287010127009</v>
      </c>
    </row>
    <row r="15" customFormat="false" ht="15" hidden="false" customHeight="true" outlineLevel="0" collapsed="false">
      <c r="A15" s="25" t="n">
        <v>2021</v>
      </c>
      <c r="B15" s="26" t="n">
        <v>134.619</v>
      </c>
      <c r="C15" s="26" t="n">
        <v>270.973</v>
      </c>
      <c r="D15" s="27" t="n">
        <f aca="false">B15/$B$10*100</f>
        <v>120.671758188566</v>
      </c>
      <c r="E15" s="27" t="n">
        <f aca="false">C15/$C$10*100</f>
        <v>112.903064519489</v>
      </c>
      <c r="F15" s="28" t="n">
        <f aca="false">B15/B14-1</f>
        <v>0.0519163899199062</v>
      </c>
      <c r="G15" s="28" t="n">
        <f aca="false">C15/C14-1</f>
        <v>0.0468098093148315</v>
      </c>
    </row>
    <row r="16" customFormat="false" ht="15" hidden="false" customHeight="true" outlineLevel="0" collapsed="false">
      <c r="A16" s="25" t="n">
        <v>2022</v>
      </c>
      <c r="B16" s="26" t="n">
        <v>161.439</v>
      </c>
      <c r="C16" s="26" t="n">
        <v>292.626</v>
      </c>
      <c r="D16" s="27" t="n">
        <f aca="false">B16/$B$10*100</f>
        <v>144.713064056365</v>
      </c>
      <c r="E16" s="27" t="n">
        <f aca="false">C16/$C$10*100</f>
        <v>121.924959896669</v>
      </c>
      <c r="F16" s="28" t="n">
        <f aca="false">B16/B15-1</f>
        <v>0.199228934994317</v>
      </c>
      <c r="G16" s="28" t="n">
        <f aca="false">C16/C15-1</f>
        <v>0.0799083303502561</v>
      </c>
    </row>
    <row r="17" customFormat="false" ht="15" hidden="false" customHeight="true" outlineLevel="0" collapsed="false">
      <c r="A17" s="25" t="n">
        <v>2023</v>
      </c>
      <c r="B17" s="26" t="n">
        <v>174.162</v>
      </c>
      <c r="C17" s="26" t="n">
        <v>304.703</v>
      </c>
      <c r="D17" s="27" t="n">
        <f aca="false">B17/$B$10*100</f>
        <v>156.117893831012</v>
      </c>
      <c r="E17" s="27" t="n">
        <f aca="false">C17/$C$10*100</f>
        <v>126.956938397117</v>
      </c>
      <c r="F17" s="28" t="n">
        <f aca="false">B17/B16-1</f>
        <v>0.0788099529853381</v>
      </c>
      <c r="G17" s="28" t="n">
        <f aca="false">C17/C16-1</f>
        <v>0.0412711105643382</v>
      </c>
    </row>
    <row r="18" customFormat="false" ht="15" hidden="false" customHeight="true" outlineLevel="0" collapsed="false">
      <c r="A18" s="25" t="n">
        <v>2024</v>
      </c>
      <c r="B18" s="26" t="n">
        <v>174.344</v>
      </c>
      <c r="C18" s="26" t="n">
        <v>313.698</v>
      </c>
      <c r="D18" s="27" t="n">
        <f aca="false">B18/$B$10*100</f>
        <v>156.281037666505</v>
      </c>
      <c r="E18" s="27" t="n">
        <f aca="false">C18/$C$10*100</f>
        <v>130.704776983813</v>
      </c>
      <c r="F18" s="28" t="n">
        <f aca="false">B18/B17-1</f>
        <v>0.00104500407666408</v>
      </c>
      <c r="G18" s="28" t="n">
        <f aca="false">C18/C17-1</f>
        <v>0.0295205495187116</v>
      </c>
    </row>
    <row r="19" customFormat="false" ht="15" hidden="false" customHeight="true" outlineLevel="0" collapsed="false">
      <c r="A19" s="25" t="n">
        <v>2025</v>
      </c>
      <c r="B19" s="26" t="n">
        <v>177.178</v>
      </c>
      <c r="C19" s="26" t="n">
        <v>321.962</v>
      </c>
      <c r="D19" s="27" t="n">
        <f aca="false">B19/$B$10*100</f>
        <v>158.821420247763</v>
      </c>
      <c r="E19" s="27" t="n">
        <f aca="false">C19/$C$10*100</f>
        <v>134.14803858253</v>
      </c>
      <c r="F19" s="28" t="n">
        <f aca="false">B19/B18-1</f>
        <v>0.0162552195659156</v>
      </c>
      <c r="G19" s="28" t="n">
        <f aca="false">C19/C18-1</f>
        <v>0.0263438083762091</v>
      </c>
    </row>
    <row r="21" customFormat="false" ht="15" hidden="false" customHeight="true" outlineLevel="0" collapsed="false">
      <c r="A21" s="25" t="s">
        <v>781</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2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16.57"/>
    <col collapsed="false" customWidth="true" hidden="false" outlineLevel="0" max="2" min="2" style="1" width="6.57"/>
  </cols>
  <sheetData>
    <row r="1" customFormat="false" ht="15" hidden="false" customHeight="true" outlineLevel="0" collapsed="false">
      <c r="A1" s="29" t="s">
        <v>782</v>
      </c>
      <c r="B1" s="29" t="s">
        <v>783</v>
      </c>
    </row>
    <row r="2" customFormat="false" ht="15" hidden="false" customHeight="true" outlineLevel="0" collapsed="false">
      <c r="A2" s="30" t="n">
        <v>2000</v>
      </c>
      <c r="B2" s="31" t="n">
        <v>5.12</v>
      </c>
    </row>
    <row r="3" customFormat="false" ht="15" hidden="false" customHeight="true" outlineLevel="0" collapsed="false">
      <c r="A3" s="30" t="n">
        <v>2001</v>
      </c>
      <c r="B3" s="31" t="n">
        <v>5.07</v>
      </c>
    </row>
    <row r="4" customFormat="false" ht="15" hidden="false" customHeight="true" outlineLevel="0" collapsed="false">
      <c r="A4" s="30" t="n">
        <v>2002</v>
      </c>
      <c r="B4" s="31" t="n">
        <v>3.83</v>
      </c>
    </row>
    <row r="5" customFormat="false" ht="15" hidden="false" customHeight="true" outlineLevel="0" collapsed="false">
      <c r="A5" s="30" t="n">
        <v>2003</v>
      </c>
      <c r="B5" s="31" t="n">
        <v>4.27</v>
      </c>
    </row>
    <row r="6" customFormat="false" ht="15" hidden="false" customHeight="true" outlineLevel="0" collapsed="false">
      <c r="A6" s="30" t="n">
        <v>2004</v>
      </c>
      <c r="B6" s="31" t="n">
        <v>4.24</v>
      </c>
    </row>
    <row r="7" customFormat="false" ht="15" hidden="false" customHeight="true" outlineLevel="0" collapsed="false">
      <c r="A7" s="30" t="n">
        <v>2005</v>
      </c>
      <c r="B7" s="31" t="n">
        <v>4.39</v>
      </c>
    </row>
    <row r="8" customFormat="false" ht="15" hidden="false" customHeight="true" outlineLevel="0" collapsed="false">
      <c r="A8" s="30" t="n">
        <v>2006</v>
      </c>
      <c r="B8" s="31" t="n">
        <v>4.71</v>
      </c>
    </row>
    <row r="9" customFormat="false" ht="15" hidden="false" customHeight="true" outlineLevel="0" collapsed="false">
      <c r="A9" s="30" t="n">
        <v>2007</v>
      </c>
      <c r="B9" s="31" t="n">
        <v>4.04</v>
      </c>
    </row>
    <row r="10" customFormat="false" ht="15" hidden="false" customHeight="true" outlineLevel="0" collapsed="false">
      <c r="A10" s="30" t="n">
        <v>2008</v>
      </c>
      <c r="B10" s="31" t="n">
        <v>2.25</v>
      </c>
    </row>
    <row r="11" customFormat="false" ht="15" hidden="false" customHeight="true" outlineLevel="0" collapsed="false">
      <c r="A11" s="30" t="n">
        <v>2009</v>
      </c>
      <c r="B11" s="31" t="n">
        <v>3.85</v>
      </c>
    </row>
    <row r="12" customFormat="false" ht="15" hidden="false" customHeight="true" outlineLevel="0" collapsed="false">
      <c r="A12" s="30" t="n">
        <v>2010</v>
      </c>
      <c r="B12" s="31" t="n">
        <v>3.3</v>
      </c>
    </row>
    <row r="13" customFormat="false" ht="15" hidden="false" customHeight="true" outlineLevel="0" collapsed="false">
      <c r="A13" s="30" t="n">
        <v>2011</v>
      </c>
      <c r="B13" s="31" t="n">
        <v>1.89</v>
      </c>
    </row>
    <row r="14" customFormat="false" ht="15" hidden="false" customHeight="true" outlineLevel="0" collapsed="false">
      <c r="A14" s="30" t="n">
        <v>2012</v>
      </c>
      <c r="B14" s="31" t="n">
        <v>1.78</v>
      </c>
    </row>
    <row r="15" customFormat="false" ht="15" hidden="false" customHeight="true" outlineLevel="0" collapsed="false">
      <c r="A15" s="30" t="n">
        <v>2013</v>
      </c>
      <c r="B15" s="31" t="n">
        <v>3.04</v>
      </c>
    </row>
    <row r="16" customFormat="false" ht="15" hidden="false" customHeight="true" outlineLevel="0" collapsed="false">
      <c r="A16" s="30" t="n">
        <v>2014</v>
      </c>
      <c r="B16" s="31" t="n">
        <v>2.17</v>
      </c>
    </row>
    <row r="17" customFormat="false" ht="15" hidden="false" customHeight="true" outlineLevel="0" collapsed="false">
      <c r="A17" s="30" t="n">
        <v>2015</v>
      </c>
      <c r="B17" s="31" t="n">
        <v>2.27</v>
      </c>
    </row>
    <row r="18" customFormat="false" ht="15" hidden="false" customHeight="true" outlineLevel="0" collapsed="false">
      <c r="A18" s="30" t="n">
        <v>2016</v>
      </c>
      <c r="B18" s="31" t="n">
        <v>2.45</v>
      </c>
    </row>
    <row r="19" customFormat="false" ht="15" hidden="false" customHeight="true" outlineLevel="0" collapsed="false">
      <c r="A19" s="30" t="n">
        <v>2017</v>
      </c>
      <c r="B19" s="31" t="n">
        <v>2.4</v>
      </c>
    </row>
    <row r="20" customFormat="false" ht="15" hidden="false" customHeight="true" outlineLevel="0" collapsed="false">
      <c r="A20" s="30" t="n">
        <v>2018</v>
      </c>
      <c r="B20" s="31" t="n">
        <v>2.69</v>
      </c>
    </row>
    <row r="21" customFormat="false" ht="15" hidden="false" customHeight="true" outlineLevel="0" collapsed="false">
      <c r="A21" s="30" t="n">
        <v>2019</v>
      </c>
      <c r="B21" s="31" t="n">
        <v>1.92</v>
      </c>
    </row>
    <row r="22" customFormat="false" ht="15" hidden="false" customHeight="true" outlineLevel="0" collapsed="false">
      <c r="A22" s="30" t="n">
        <v>2020</v>
      </c>
      <c r="B22" s="31" t="n">
        <v>0.93</v>
      </c>
    </row>
    <row r="23" customFormat="false" ht="15" hidden="false" customHeight="true" outlineLevel="0" collapsed="false">
      <c r="A23" s="30" t="n">
        <v>2021</v>
      </c>
      <c r="B23" s="31" t="n">
        <v>1.52</v>
      </c>
    </row>
    <row r="24" customFormat="false" ht="15" hidden="false" customHeight="true" outlineLevel="0" collapsed="false">
      <c r="A24" s="30" t="n">
        <v>2022</v>
      </c>
      <c r="B24" s="31" t="n">
        <v>3.88</v>
      </c>
    </row>
    <row r="25" customFormat="false" ht="15" hidden="false" customHeight="true" outlineLevel="0" collapsed="false">
      <c r="A25" s="30" t="n">
        <v>2023</v>
      </c>
      <c r="B25" s="31" t="n">
        <v>3.88</v>
      </c>
    </row>
    <row r="26" customFormat="false" ht="15" hidden="false" customHeight="true" outlineLevel="0" collapsed="false">
      <c r="A26" s="30" t="n">
        <v>2024</v>
      </c>
      <c r="B26" s="31" t="n">
        <v>4.58</v>
      </c>
    </row>
    <row r="27" customFormat="false" ht="15" hidden="false" customHeight="true" outlineLevel="0" collapsed="false">
      <c r="A27" s="30" t="n">
        <v>2025</v>
      </c>
      <c r="B27" s="31" t="n">
        <v>4.18</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1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sheetData>
    <row r="1" customFormat="false" ht="15" hidden="false" customHeight="true" outlineLevel="0" collapsed="false">
      <c r="A1" s="25" t="s">
        <v>765</v>
      </c>
      <c r="B1" s="25" t="s">
        <v>784</v>
      </c>
    </row>
    <row r="2" customFormat="false" ht="15" hidden="false" customHeight="true" outlineLevel="0" collapsed="false">
      <c r="A2" s="25" t="n">
        <v>2016</v>
      </c>
      <c r="B2" s="25" t="n">
        <v>3.51</v>
      </c>
    </row>
    <row r="3" customFormat="false" ht="15" hidden="false" customHeight="true" outlineLevel="0" collapsed="false">
      <c r="A3" s="25" t="n">
        <v>2017</v>
      </c>
      <c r="B3" s="25" t="n">
        <v>4.1</v>
      </c>
    </row>
    <row r="4" customFormat="false" ht="15" hidden="false" customHeight="true" outlineLevel="0" collapsed="false">
      <c r="A4" s="25" t="n">
        <v>2018</v>
      </c>
      <c r="B4" s="25" t="n">
        <v>4.9</v>
      </c>
    </row>
    <row r="5" customFormat="false" ht="15" hidden="false" customHeight="true" outlineLevel="0" collapsed="false">
      <c r="A5" s="25" t="n">
        <v>2019</v>
      </c>
      <c r="B5" s="25" t="n">
        <v>5.28</v>
      </c>
    </row>
    <row r="6" customFormat="false" ht="15" hidden="false" customHeight="true" outlineLevel="0" collapsed="false">
      <c r="A6" s="25" t="n">
        <v>2020</v>
      </c>
      <c r="B6" s="25" t="n">
        <v>3.54</v>
      </c>
    </row>
    <row r="7" customFormat="false" ht="15" hidden="false" customHeight="true" outlineLevel="0" collapsed="false">
      <c r="A7" s="25" t="n">
        <v>2021</v>
      </c>
      <c r="B7" s="25" t="n">
        <v>3.25</v>
      </c>
    </row>
    <row r="8" customFormat="false" ht="15" hidden="false" customHeight="true" outlineLevel="0" collapsed="false">
      <c r="A8" s="25" t="n">
        <v>2022</v>
      </c>
      <c r="B8" s="25" t="n">
        <v>4.85</v>
      </c>
    </row>
    <row r="9" customFormat="false" ht="15" hidden="false" customHeight="true" outlineLevel="0" collapsed="false">
      <c r="A9" s="25" t="n">
        <v>2023</v>
      </c>
      <c r="B9" s="25" t="n">
        <v>8.19</v>
      </c>
    </row>
    <row r="10" customFormat="false" ht="15" hidden="false" customHeight="true" outlineLevel="0" collapsed="false">
      <c r="A10" s="25" t="n">
        <v>2024</v>
      </c>
      <c r="B10" s="25" t="n">
        <v>8.31</v>
      </c>
    </row>
    <row r="11" customFormat="false" ht="15" hidden="false" customHeight="true" outlineLevel="0" collapsed="false">
      <c r="A11" s="25" t="n">
        <v>2025</v>
      </c>
      <c r="B11" s="25" t="n">
        <v>7.37</v>
      </c>
    </row>
    <row r="13" customFormat="false" ht="15" hidden="false" customHeight="true" outlineLevel="0" collapsed="false">
      <c r="A13" s="25" t="s">
        <v>785</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X3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50" min="1" style="1" width="15"/>
  </cols>
  <sheetData>
    <row r="1" customFormat="false" ht="15" hidden="false" customHeight="true" outlineLevel="0" collapsed="false">
      <c r="A1" s="4" t="s">
        <v>523</v>
      </c>
    </row>
    <row r="3" customFormat="false" ht="15" hidden="false" customHeight="true" outlineLevel="0" collapsed="false">
      <c r="A3" s="5" t="s">
        <v>524</v>
      </c>
    </row>
    <row r="4" customFormat="false" ht="15" hidden="false" customHeight="true" outlineLevel="0" collapsed="false">
      <c r="A4" s="2" t="s">
        <v>525</v>
      </c>
    </row>
    <row r="6" customFormat="false" ht="21.75" hidden="false" customHeight="true" outlineLevel="0" collapsed="false">
      <c r="B6" s="6" t="s">
        <v>526</v>
      </c>
      <c r="C6" s="6" t="s">
        <v>526</v>
      </c>
      <c r="D6" s="6" t="s">
        <v>527</v>
      </c>
      <c r="E6" s="6" t="s">
        <v>528</v>
      </c>
      <c r="F6" s="6" t="s">
        <v>526</v>
      </c>
      <c r="G6" s="6" t="s">
        <v>527</v>
      </c>
      <c r="H6" s="6" t="s">
        <v>529</v>
      </c>
      <c r="I6" s="6" t="s">
        <v>529</v>
      </c>
      <c r="J6" s="6" t="s">
        <v>527</v>
      </c>
      <c r="K6" s="6" t="s">
        <v>527</v>
      </c>
      <c r="L6" s="6" t="s">
        <v>529</v>
      </c>
      <c r="M6" s="6" t="s">
        <v>529</v>
      </c>
      <c r="N6" s="6" t="s">
        <v>530</v>
      </c>
      <c r="O6" s="6" t="s">
        <v>527</v>
      </c>
      <c r="P6" s="6" t="s">
        <v>527</v>
      </c>
      <c r="Q6" s="6" t="s">
        <v>527</v>
      </c>
      <c r="R6" s="6" t="s">
        <v>531</v>
      </c>
      <c r="S6" s="6" t="s">
        <v>530</v>
      </c>
      <c r="T6" s="6" t="s">
        <v>530</v>
      </c>
      <c r="U6" s="6" t="s">
        <v>531</v>
      </c>
      <c r="V6" s="6" t="s">
        <v>527</v>
      </c>
      <c r="W6" s="6" t="s">
        <v>529</v>
      </c>
      <c r="X6" s="6" t="s">
        <v>529</v>
      </c>
      <c r="Y6" s="6" t="s">
        <v>532</v>
      </c>
      <c r="Z6" s="6" t="s">
        <v>527</v>
      </c>
      <c r="AA6" s="6" t="s">
        <v>527</v>
      </c>
      <c r="AB6" s="6" t="s">
        <v>527</v>
      </c>
      <c r="AC6" s="6" t="s">
        <v>527</v>
      </c>
      <c r="AD6" s="6"/>
      <c r="AE6" s="6" t="s">
        <v>531</v>
      </c>
      <c r="AG6" s="7" t="s">
        <v>526</v>
      </c>
      <c r="AH6" s="7" t="s">
        <v>526</v>
      </c>
      <c r="AI6" s="7" t="s">
        <v>526</v>
      </c>
      <c r="AJ6" s="7" t="s">
        <v>526</v>
      </c>
      <c r="AK6" s="7" t="s">
        <v>529</v>
      </c>
      <c r="AL6" s="7" t="s">
        <v>529</v>
      </c>
      <c r="AM6" s="7" t="s">
        <v>529</v>
      </c>
      <c r="AN6" s="7" t="s">
        <v>529</v>
      </c>
      <c r="AO6" s="7" t="s">
        <v>526</v>
      </c>
      <c r="AP6" s="7" t="s">
        <v>526</v>
      </c>
      <c r="AQ6" s="7" t="s">
        <v>526</v>
      </c>
      <c r="AR6" s="7" t="s">
        <v>526</v>
      </c>
      <c r="AS6" s="7" t="s">
        <v>526</v>
      </c>
      <c r="AT6" s="7" t="s">
        <v>526</v>
      </c>
      <c r="AU6" s="7" t="s">
        <v>527</v>
      </c>
      <c r="AV6" s="7" t="s">
        <v>527</v>
      </c>
      <c r="AW6" s="7" t="s">
        <v>527</v>
      </c>
      <c r="AX6" s="7"/>
    </row>
    <row r="7" customFormat="false" ht="53.25" hidden="false" customHeight="true" outlineLevel="0" collapsed="false">
      <c r="A7" s="8" t="s">
        <v>533</v>
      </c>
      <c r="B7" s="8" t="s">
        <v>534</v>
      </c>
      <c r="C7" s="8" t="s">
        <v>535</v>
      </c>
      <c r="D7" s="8" t="s">
        <v>536</v>
      </c>
      <c r="E7" s="8" t="s">
        <v>537</v>
      </c>
      <c r="F7" s="8" t="s">
        <v>538</v>
      </c>
      <c r="G7" s="8" t="s">
        <v>539</v>
      </c>
      <c r="H7" s="8" t="s">
        <v>540</v>
      </c>
      <c r="I7" s="8" t="s">
        <v>541</v>
      </c>
      <c r="J7" s="8" t="s">
        <v>542</v>
      </c>
      <c r="K7" s="8" t="s">
        <v>543</v>
      </c>
      <c r="L7" s="8" t="s">
        <v>544</v>
      </c>
      <c r="M7" s="8" t="s">
        <v>545</v>
      </c>
      <c r="N7" s="8" t="s">
        <v>546</v>
      </c>
      <c r="O7" s="8" t="s">
        <v>547</v>
      </c>
      <c r="P7" s="8" t="s">
        <v>548</v>
      </c>
      <c r="Q7" s="8" t="s">
        <v>549</v>
      </c>
      <c r="R7" s="8" t="s">
        <v>550</v>
      </c>
      <c r="S7" s="8" t="s">
        <v>551</v>
      </c>
      <c r="T7" s="8" t="s">
        <v>552</v>
      </c>
      <c r="U7" s="8" t="s">
        <v>553</v>
      </c>
      <c r="V7" s="8" t="s">
        <v>554</v>
      </c>
      <c r="W7" s="8" t="s">
        <v>555</v>
      </c>
      <c r="X7" s="8" t="s">
        <v>556</v>
      </c>
      <c r="Y7" s="8" t="s">
        <v>557</v>
      </c>
      <c r="Z7" s="8" t="s">
        <v>558</v>
      </c>
      <c r="AA7" s="8" t="s">
        <v>559</v>
      </c>
      <c r="AB7" s="8" t="s">
        <v>560</v>
      </c>
      <c r="AC7" s="8" t="s">
        <v>561</v>
      </c>
      <c r="AD7" s="8"/>
      <c r="AE7" s="8" t="s">
        <v>562</v>
      </c>
      <c r="AG7" s="8" t="s">
        <v>563</v>
      </c>
      <c r="AH7" s="8" t="s">
        <v>564</v>
      </c>
      <c r="AI7" s="8" t="s">
        <v>565</v>
      </c>
      <c r="AJ7" s="8" t="s">
        <v>566</v>
      </c>
      <c r="AK7" s="8" t="s">
        <v>567</v>
      </c>
      <c r="AL7" s="8" t="s">
        <v>568</v>
      </c>
      <c r="AM7" s="8" t="s">
        <v>569</v>
      </c>
      <c r="AN7" s="8" t="s">
        <v>570</v>
      </c>
      <c r="AO7" s="8" t="s">
        <v>571</v>
      </c>
      <c r="AP7" s="8" t="s">
        <v>572</v>
      </c>
      <c r="AQ7" s="8" t="s">
        <v>573</v>
      </c>
      <c r="AR7" s="8" t="s">
        <v>574</v>
      </c>
      <c r="AS7" s="8" t="s">
        <v>575</v>
      </c>
      <c r="AT7" s="8" t="s">
        <v>576</v>
      </c>
      <c r="AU7" s="8" t="s">
        <v>577</v>
      </c>
      <c r="AV7" s="8" t="s">
        <v>578</v>
      </c>
      <c r="AW7" s="8" t="s">
        <v>579</v>
      </c>
      <c r="AX7" s="8"/>
    </row>
    <row r="8" customFormat="false" ht="15" hidden="false" customHeight="true" outlineLevel="0" collapsed="false">
      <c r="A8" s="2" t="n">
        <v>2025</v>
      </c>
      <c r="B8" s="9" t="n">
        <f aca="false">AG8/1000</f>
        <v>2020.949</v>
      </c>
      <c r="C8" s="9" t="n">
        <f aca="false">AH8/1000</f>
        <v>259.181</v>
      </c>
      <c r="D8" s="9" t="n">
        <f aca="false">B8-C8</f>
        <v>1761.768</v>
      </c>
      <c r="E8" s="10" t="n">
        <v>181.31</v>
      </c>
      <c r="F8" s="11" t="n">
        <f aca="false">AO8/1000</f>
        <v>141.140652</v>
      </c>
      <c r="G8" s="9" t="n">
        <f aca="false">IF($E8="","",E8*F8)</f>
        <v>25590.21161412</v>
      </c>
      <c r="H8" s="9" t="n">
        <f aca="false">AK8/1000</f>
        <v>123.751</v>
      </c>
      <c r="I8" s="9" t="n">
        <f aca="false">AL8/1000</f>
        <v>1458.795</v>
      </c>
      <c r="J8" s="9" t="n">
        <f aca="false">H8+I8</f>
        <v>1582.546</v>
      </c>
      <c r="K8" s="9" t="n">
        <f aca="false">IF($E8="","",G8-J8)</f>
        <v>24007.66561412</v>
      </c>
      <c r="L8" s="9" t="n">
        <f aca="false">AR8/1000</f>
        <v>8618.988</v>
      </c>
      <c r="M8" s="9" t="n">
        <f aca="false">AS8/1000</f>
        <v>709.564</v>
      </c>
      <c r="N8" s="12" t="n">
        <v>0</v>
      </c>
      <c r="O8" s="9" t="n">
        <f aca="false">SUM(L8:N8)</f>
        <v>9328.552</v>
      </c>
      <c r="P8" s="9" t="n">
        <f aca="false">IF($E8="","",G8+O8)</f>
        <v>34918.76361412</v>
      </c>
      <c r="Q8" s="9" t="n">
        <f aca="false">IF($E8="","",K8+O8)</f>
        <v>33336.21761412</v>
      </c>
      <c r="R8" s="9" t="n">
        <f aca="false">AI8/1000</f>
        <v>1605.577</v>
      </c>
      <c r="S8" s="5" t="s">
        <v>580</v>
      </c>
      <c r="T8" s="5" t="s">
        <v>580</v>
      </c>
      <c r="U8" s="9" t="n">
        <f aca="false">AJ8/1000</f>
        <v>166.317</v>
      </c>
      <c r="V8" s="9" t="n">
        <f aca="false">R8-U8</f>
        <v>1439.26</v>
      </c>
      <c r="W8" s="9" t="n">
        <f aca="false">AM8/1000</f>
        <v>1671.105</v>
      </c>
      <c r="X8" s="9" t="n">
        <f aca="false">AN8/1000</f>
        <v>992.333</v>
      </c>
      <c r="Y8" s="13" t="n">
        <f aca="false">INDEX('10 YR UST'!$B:$B,MATCH($A8,'10 YR UST'!$A:$A,0))/100</f>
        <v>0.0418</v>
      </c>
      <c r="Z8" s="13" t="n">
        <f aca="false">IF($E8="","",B8/Q8)</f>
        <v>0.0606232243679619</v>
      </c>
      <c r="AA8" s="13" t="n">
        <f aca="false">IF($E8="","",D8/K8)</f>
        <v>0.0733835612473636</v>
      </c>
      <c r="AB8" s="14" t="n">
        <f aca="false">IF($E8="","",Q8/B8)</f>
        <v>16.495328488804</v>
      </c>
      <c r="AC8" s="14" t="n">
        <f aca="false">IF($E8="","",K8/D8)</f>
        <v>13.627030127758</v>
      </c>
      <c r="AD8" s="15"/>
      <c r="AE8" s="15" t="n">
        <v>0.959</v>
      </c>
      <c r="AG8" s="12" t="n">
        <v>2020949</v>
      </c>
      <c r="AH8" s="12" t="n">
        <v>259181</v>
      </c>
      <c r="AI8" s="12" t="n">
        <v>1605577</v>
      </c>
      <c r="AJ8" s="12" t="n">
        <v>166317</v>
      </c>
      <c r="AK8" s="12" t="n">
        <v>123751</v>
      </c>
      <c r="AL8" s="12" t="n">
        <v>1458795</v>
      </c>
      <c r="AM8" s="12" t="n">
        <v>1671105</v>
      </c>
      <c r="AN8" s="12" t="n">
        <v>992333</v>
      </c>
      <c r="AO8" s="12" t="n">
        <v>141140.652</v>
      </c>
      <c r="AP8" s="9" t="s">
        <v>580</v>
      </c>
      <c r="AQ8" s="12" t="n">
        <v>9388152</v>
      </c>
      <c r="AR8" s="12" t="n">
        <f aca="false">7879380+739608</f>
        <v>8618988</v>
      </c>
      <c r="AS8" s="12" t="n">
        <v>709564</v>
      </c>
      <c r="AT8" s="12" t="n">
        <f aca="false">(45620)+(13588)+(392)</f>
        <v>59600</v>
      </c>
      <c r="AU8" s="9" t="n">
        <f aca="false">AR8+AS8+AT8-AQ8</f>
        <v>0</v>
      </c>
      <c r="AV8" s="9" t="s">
        <v>580</v>
      </c>
      <c r="AW8" s="9" t="s">
        <v>580</v>
      </c>
      <c r="AX8" s="12"/>
    </row>
    <row r="9" customFormat="false" ht="15" hidden="false" customHeight="true" outlineLevel="0" collapsed="false">
      <c r="A9" s="2" t="n">
        <v>2024</v>
      </c>
      <c r="B9" s="9" t="n">
        <f aca="false">AG9/1000</f>
        <v>1974.431</v>
      </c>
      <c r="C9" s="9" t="n">
        <f aca="false">AH9/1000</f>
        <v>226.589</v>
      </c>
      <c r="D9" s="9" t="n">
        <f aca="false">B9-C9</f>
        <v>1747.842</v>
      </c>
      <c r="E9" s="10" t="n">
        <v>219.97</v>
      </c>
      <c r="F9" s="11" t="n">
        <f aca="false">AO9/1000</f>
        <v>142.254022</v>
      </c>
      <c r="G9" s="9" t="n">
        <f aca="false">IF($E9="","",E9*F9)</f>
        <v>31291.61721934</v>
      </c>
      <c r="H9" s="9" t="n">
        <f aca="false">AK9/1000</f>
        <v>151.922</v>
      </c>
      <c r="I9" s="9" t="n">
        <f aca="false">AL9/1000</f>
        <v>1042.673</v>
      </c>
      <c r="J9" s="9" t="n">
        <f aca="false">H9+I9</f>
        <v>1194.595</v>
      </c>
      <c r="K9" s="9" t="n">
        <f aca="false">IF($E9="","",G9-J9)</f>
        <v>30097.02221934</v>
      </c>
      <c r="L9" s="9" t="n">
        <f aca="false">AR9/1000</f>
        <v>7358.784</v>
      </c>
      <c r="M9" s="9" t="n">
        <f aca="false">AS9/1000</f>
        <v>718.465</v>
      </c>
      <c r="N9" s="12" t="n">
        <v>0</v>
      </c>
      <c r="O9" s="9" t="n">
        <f aca="false">SUM(L9:N9)</f>
        <v>8077.249</v>
      </c>
      <c r="P9" s="9" t="n">
        <f aca="false">IF($E9="","",G9+O9)</f>
        <v>39368.86621934</v>
      </c>
      <c r="Q9" s="9" t="n">
        <f aca="false">IF($E9="","",K9+O9)</f>
        <v>38174.27121934</v>
      </c>
      <c r="R9" s="9" t="n">
        <f aca="false">AI9/1000</f>
        <v>1568.394</v>
      </c>
      <c r="S9" s="5" t="s">
        <v>580</v>
      </c>
      <c r="T9" s="5" t="s">
        <v>580</v>
      </c>
      <c r="U9" s="9" t="n">
        <f aca="false">AJ9/1000</f>
        <v>126.665</v>
      </c>
      <c r="V9" s="9" t="n">
        <f aca="false">R9-U9</f>
        <v>1441.729</v>
      </c>
      <c r="W9" s="9" t="n">
        <f aca="false">AM9/1000</f>
        <v>1607.878</v>
      </c>
      <c r="X9" s="9" t="n">
        <f aca="false">AN9/1000</f>
        <v>961.914</v>
      </c>
      <c r="Y9" s="13" t="n">
        <f aca="false">INDEX('10 YR UST'!$B:$B,MATCH($A9,'10 YR UST'!$A:$A,0))/100</f>
        <v>0.0458</v>
      </c>
      <c r="Z9" s="13" t="n">
        <f aca="false">IF($E9="","",B9/Q9)</f>
        <v>0.0517215112937037</v>
      </c>
      <c r="AA9" s="13" t="n">
        <f aca="false">IF($E9="","",D9/K9)</f>
        <v>0.0580735857275893</v>
      </c>
      <c r="AB9" s="14" t="n">
        <f aca="false">IF($E9="","",Q9/B9)</f>
        <v>19.3343151618568</v>
      </c>
      <c r="AC9" s="14" t="n">
        <f aca="false">IF($E9="","",K9/D9)</f>
        <v>17.2195325546245</v>
      </c>
      <c r="AD9" s="15"/>
      <c r="AE9" s="15" t="n">
        <v>0.958</v>
      </c>
      <c r="AG9" s="12" t="n">
        <v>1974431</v>
      </c>
      <c r="AH9" s="12" t="n">
        <v>226589</v>
      </c>
      <c r="AI9" s="12" t="n">
        <v>1568394</v>
      </c>
      <c r="AJ9" s="12" t="n">
        <v>126665</v>
      </c>
      <c r="AK9" s="12" t="n">
        <v>151922</v>
      </c>
      <c r="AL9" s="12" t="n">
        <v>1042673</v>
      </c>
      <c r="AM9" s="12" t="n">
        <v>1607878</v>
      </c>
      <c r="AN9" s="12" t="n">
        <v>961914</v>
      </c>
      <c r="AO9" s="12" t="n">
        <v>142254.022</v>
      </c>
      <c r="AP9" s="9" t="s">
        <v>580</v>
      </c>
      <c r="AQ9" s="12" t="n">
        <v>8134429</v>
      </c>
      <c r="AR9" s="12" t="n">
        <v>7358784</v>
      </c>
      <c r="AS9" s="12" t="n">
        <v>718465</v>
      </c>
      <c r="AT9" s="12" t="n">
        <f aca="false">(41216)+(15964)</f>
        <v>57180</v>
      </c>
      <c r="AU9" s="9" t="n">
        <f aca="false">AR9+AS9+AT9-AQ9</f>
        <v>0</v>
      </c>
      <c r="AV9" s="9" t="s">
        <v>580</v>
      </c>
      <c r="AW9" s="9" t="s">
        <v>580</v>
      </c>
      <c r="AX9" s="12"/>
    </row>
    <row r="10" customFormat="false" ht="15" hidden="false" customHeight="true" outlineLevel="0" collapsed="false">
      <c r="A10" s="2" t="n">
        <v>2023</v>
      </c>
      <c r="B10" s="9" t="n">
        <f aca="false">AG10/1000</f>
        <v>1886.748</v>
      </c>
      <c r="C10" s="9" t="n">
        <f aca="false">AH10/1000</f>
        <v>205.992</v>
      </c>
      <c r="D10" s="9" t="n">
        <f aca="false">B10-C10</f>
        <v>1680.756</v>
      </c>
      <c r="E10" s="10" t="n">
        <v>187.22</v>
      </c>
      <c r="F10" s="11" t="n">
        <f aca="false">AO10/1000</f>
        <v>142.025456</v>
      </c>
      <c r="G10" s="9" t="n">
        <f aca="false">IF($E10="","",E10*F10)</f>
        <v>26590.00587232</v>
      </c>
      <c r="H10" s="9" t="n">
        <f aca="false">AK10/1000</f>
        <v>199.062</v>
      </c>
      <c r="I10" s="9" t="n">
        <f aca="false">AL10/1000</f>
        <v>1268.915</v>
      </c>
      <c r="J10" s="9" t="n">
        <f aca="false">H10+I10</f>
        <v>1467.977</v>
      </c>
      <c r="K10" s="9" t="n">
        <f aca="false">IF($E10="","",G10-J10)</f>
        <v>25122.02887232</v>
      </c>
      <c r="L10" s="9" t="n">
        <f aca="false">AR10/1000</f>
        <v>7256.152</v>
      </c>
      <c r="M10" s="9" t="n">
        <f aca="false">AS10/1000</f>
        <v>725.67</v>
      </c>
      <c r="N10" s="12" t="n">
        <v>0</v>
      </c>
      <c r="O10" s="9" t="n">
        <f aca="false">SUM(L10:N10)</f>
        <v>7981.822</v>
      </c>
      <c r="P10" s="9" t="n">
        <f aca="false">IF($E10="","",G10+O10)</f>
        <v>34571.82787232</v>
      </c>
      <c r="Q10" s="9" t="n">
        <f aca="false">IF($E10="","",K10+O10)</f>
        <v>33103.85087232</v>
      </c>
      <c r="R10" s="9" t="n">
        <f aca="false">AI10/1000</f>
        <v>1505.598</v>
      </c>
      <c r="S10" s="5" t="s">
        <v>580</v>
      </c>
      <c r="T10" s="5" t="s">
        <v>580</v>
      </c>
      <c r="U10" s="9" t="n">
        <f aca="false">AJ10/1000</f>
        <v>124.679</v>
      </c>
      <c r="V10" s="9" t="n">
        <f aca="false">R10-U10</f>
        <v>1380.919</v>
      </c>
      <c r="W10" s="9" t="n">
        <f aca="false">AM10/1000</f>
        <v>1560.029</v>
      </c>
      <c r="X10" s="9" t="n">
        <f aca="false">AN10/1000</f>
        <v>922.657</v>
      </c>
      <c r="Y10" s="13" t="n">
        <f aca="false">INDEX('10 YR UST'!$B:$B,MATCH($A10,'10 YR UST'!$A:$A,0))/100</f>
        <v>0.0388</v>
      </c>
      <c r="Z10" s="13" t="n">
        <f aca="false">IF($E10="","",B10/Q10)</f>
        <v>0.05699481934223</v>
      </c>
      <c r="AA10" s="13" t="n">
        <f aca="false">IF($E10="","",D10/K10)</f>
        <v>0.0669036728101166</v>
      </c>
      <c r="AB10" s="14" t="n">
        <f aca="false">IF($E10="","",Q10/B10)</f>
        <v>17.5454543332337</v>
      </c>
      <c r="AC10" s="14" t="n">
        <f aca="false">IF($E10="","",K10/D10)</f>
        <v>14.9468625263393</v>
      </c>
      <c r="AD10" s="15"/>
      <c r="AE10" s="15" t="n">
        <v>0.958</v>
      </c>
      <c r="AG10" s="12" t="n">
        <v>1886748</v>
      </c>
      <c r="AH10" s="12" t="n">
        <v>205992</v>
      </c>
      <c r="AI10" s="12" t="n">
        <v>1505598</v>
      </c>
      <c r="AJ10" s="12" t="n">
        <v>124679</v>
      </c>
      <c r="AK10" s="12" t="n">
        <v>199062</v>
      </c>
      <c r="AL10" s="12" t="n">
        <v>1268915</v>
      </c>
      <c r="AM10" s="12" t="n">
        <v>1560029</v>
      </c>
      <c r="AN10" s="12" t="n">
        <v>922657</v>
      </c>
      <c r="AO10" s="12" t="n">
        <v>142025.456</v>
      </c>
      <c r="AP10" s="9" t="s">
        <v>580</v>
      </c>
      <c r="AQ10" s="12" t="n">
        <v>8044042</v>
      </c>
      <c r="AR10" s="12" t="n">
        <v>7256152</v>
      </c>
      <c r="AS10" s="12" t="n">
        <v>725670</v>
      </c>
      <c r="AT10" s="12" t="n">
        <f aca="false">(43848)+(18372)</f>
        <v>62220</v>
      </c>
      <c r="AU10" s="9" t="n">
        <f aca="false">AR10+AS10+AT10-AQ10</f>
        <v>0</v>
      </c>
      <c r="AV10" s="9" t="s">
        <v>580</v>
      </c>
      <c r="AW10" s="9" t="s">
        <v>580</v>
      </c>
      <c r="AX10" s="12"/>
    </row>
    <row r="11" customFormat="false" ht="15" hidden="false" customHeight="true" outlineLevel="0" collapsed="false">
      <c r="A11" s="2" t="n">
        <v>2022</v>
      </c>
      <c r="B11" s="9" t="n">
        <f aca="false">AG11/1000</f>
        <v>1765.786</v>
      </c>
      <c r="C11" s="9" t="n">
        <f aca="false">AH11/1000</f>
        <v>230.074</v>
      </c>
      <c r="D11" s="9" t="n">
        <f aca="false">B11-C11</f>
        <v>1535.712</v>
      </c>
      <c r="E11" s="10" t="n">
        <v>161.52</v>
      </c>
      <c r="F11" s="11" t="n">
        <f aca="false">AO11/1000</f>
        <v>139.924364</v>
      </c>
      <c r="G11" s="9" t="n">
        <f aca="false">IF($E11="","",E11*F11)</f>
        <v>22600.58327328</v>
      </c>
      <c r="H11" s="9" t="n">
        <f aca="false">AK11/1000</f>
        <v>179.204</v>
      </c>
      <c r="I11" s="9" t="n">
        <f aca="false">AL11/1000</f>
        <v>1072.543</v>
      </c>
      <c r="J11" s="9" t="n">
        <f aca="false">H11+I11</f>
        <v>1251.747</v>
      </c>
      <c r="K11" s="9" t="n">
        <f aca="false">IF($E11="","",G11-J11)</f>
        <v>21348.83627328</v>
      </c>
      <c r="L11" s="9" t="n">
        <f aca="false">AR11/1000</f>
        <v>7602.305</v>
      </c>
      <c r="M11" s="9" t="n">
        <f aca="false">AS11/1000</f>
        <v>713.74</v>
      </c>
      <c r="N11" s="12" t="n">
        <v>0</v>
      </c>
      <c r="O11" s="9" t="n">
        <f aca="false">SUM(L11:N11)</f>
        <v>8316.045</v>
      </c>
      <c r="P11" s="9" t="n">
        <f aca="false">IF($E11="","",G11+O11)</f>
        <v>30916.62827328</v>
      </c>
      <c r="Q11" s="9" t="n">
        <f aca="false">IF($E11="","",K11+O11)</f>
        <v>29664.88127328</v>
      </c>
      <c r="R11" s="9" t="n">
        <f aca="false">AI11/1000</f>
        <v>1369.999</v>
      </c>
      <c r="S11" s="5" t="s">
        <v>580</v>
      </c>
      <c r="T11" s="5" t="s">
        <v>580</v>
      </c>
      <c r="U11" s="9" t="n">
        <f aca="false">AJ11/1000</f>
        <v>112.174</v>
      </c>
      <c r="V11" s="9" t="n">
        <f aca="false">R11-U11</f>
        <v>1257.825</v>
      </c>
      <c r="W11" s="9" t="n">
        <f aca="false">AM11/1000</f>
        <v>1421.932</v>
      </c>
      <c r="X11" s="9" t="n">
        <f aca="false">AN11/1000</f>
        <v>889.607</v>
      </c>
      <c r="Y11" s="13" t="n">
        <f aca="false">INDEX('10 YR UST'!$B:$B,MATCH($A11,'10 YR UST'!$A:$A,0))/100</f>
        <v>0.0388</v>
      </c>
      <c r="Z11" s="13" t="n">
        <f aca="false">IF($E11="","",B11/Q11)</f>
        <v>0.0595244586935358</v>
      </c>
      <c r="AA11" s="13" t="n">
        <f aca="false">IF($E11="","",D11/K11)</f>
        <v>0.0719342253761196</v>
      </c>
      <c r="AB11" s="14" t="n">
        <f aca="false">IF($E11="","",Q11/B11)</f>
        <v>16.7998167803347</v>
      </c>
      <c r="AC11" s="14" t="n">
        <f aca="false">IF($E11="","",K11/D11)</f>
        <v>13.9015884965931</v>
      </c>
      <c r="AD11" s="16"/>
      <c r="AE11" s="15" t="n">
        <v>0.961</v>
      </c>
      <c r="AG11" s="12" t="n">
        <v>1765786</v>
      </c>
      <c r="AH11" s="12" t="n">
        <v>230074</v>
      </c>
      <c r="AI11" s="12" t="n">
        <v>1369999</v>
      </c>
      <c r="AJ11" s="12" t="n">
        <v>112174</v>
      </c>
      <c r="AK11" s="12" t="n">
        <v>179204</v>
      </c>
      <c r="AL11" s="12" t="n">
        <v>1072543</v>
      </c>
      <c r="AM11" s="12" t="n">
        <v>1421932</v>
      </c>
      <c r="AN11" s="12" t="n">
        <v>889607</v>
      </c>
      <c r="AO11" s="12" t="n">
        <v>139924.364</v>
      </c>
      <c r="AP11" s="9" t="s">
        <v>580</v>
      </c>
      <c r="AQ11" s="12" t="n">
        <v>8377827</v>
      </c>
      <c r="AR11" s="12" t="n">
        <v>7602305</v>
      </c>
      <c r="AS11" s="12" t="n">
        <v>713740</v>
      </c>
      <c r="AT11" s="12" t="n">
        <f aca="false">(47695)+(14087)</f>
        <v>61782</v>
      </c>
      <c r="AU11" s="9" t="n">
        <f aca="false">AR11+AS11+AT11-AQ11</f>
        <v>0</v>
      </c>
      <c r="AV11" s="9" t="s">
        <v>580</v>
      </c>
      <c r="AW11" s="9" t="s">
        <v>580</v>
      </c>
      <c r="AX11" s="12"/>
    </row>
    <row r="12" customFormat="false" ht="15" hidden="false" customHeight="true" outlineLevel="0" collapsed="false">
      <c r="A12" s="2" t="n">
        <v>2021</v>
      </c>
      <c r="B12" s="9" t="n">
        <f aca="false">AG12/1000</f>
        <v>1514.678</v>
      </c>
      <c r="C12" s="9" t="n">
        <f aca="false">AH12/1000</f>
        <v>220.415</v>
      </c>
      <c r="D12" s="9" t="n">
        <f aca="false">B12-C12</f>
        <v>1294.263</v>
      </c>
      <c r="E12" s="10" t="n">
        <v>252.59</v>
      </c>
      <c r="F12" s="11" t="n">
        <f aca="false">AO12/1000</f>
        <v>139.759426</v>
      </c>
      <c r="G12" s="9" t="n">
        <f aca="false">IF($E12="","",E12*F12)</f>
        <v>35301.83341334</v>
      </c>
      <c r="H12" s="9" t="n">
        <f aca="false">AK12/1000</f>
        <v>147.546</v>
      </c>
      <c r="I12" s="9" t="n">
        <f aca="false">AL12/1000</f>
        <v>807.101</v>
      </c>
      <c r="J12" s="9" t="n">
        <f aca="false">H12+I12</f>
        <v>954.647</v>
      </c>
      <c r="K12" s="9" t="n">
        <f aca="false">IF($E12="","",G12-J12)</f>
        <v>34347.18641334</v>
      </c>
      <c r="L12" s="9" t="n">
        <f aca="false">AR12/1000</f>
        <v>7349.394</v>
      </c>
      <c r="M12" s="9" t="n">
        <f aca="false">AS12/1000</f>
        <v>754.153</v>
      </c>
      <c r="N12" s="12" t="n">
        <v>0</v>
      </c>
      <c r="O12" s="9" t="n">
        <f aca="false">SUM(L12:N12)</f>
        <v>8103.547</v>
      </c>
      <c r="P12" s="9" t="n">
        <f aca="false">IF($E12="","",G12+O12)</f>
        <v>43405.38041334</v>
      </c>
      <c r="Q12" s="9" t="n">
        <f aca="false">IF($E12="","",K12+O12)</f>
        <v>42450.73341334</v>
      </c>
      <c r="R12" s="9" t="n">
        <f aca="false">AI12/1000</f>
        <v>1153.472</v>
      </c>
      <c r="S12" s="5" t="s">
        <v>580</v>
      </c>
      <c r="T12" s="5" t="s">
        <v>580</v>
      </c>
      <c r="U12" s="9" t="n">
        <f aca="false">AJ12/1000</f>
        <v>100.642</v>
      </c>
      <c r="V12" s="9" t="n">
        <f aca="false">R12-U12</f>
        <v>1052.83</v>
      </c>
      <c r="W12" s="9" t="n">
        <f aca="false">AM12/1000</f>
        <v>1203.17</v>
      </c>
      <c r="X12" s="9" t="n">
        <f aca="false">AN12/1000</f>
        <v>888.344</v>
      </c>
      <c r="Y12" s="13" t="n">
        <f aca="false">INDEX('10 YR UST'!$B:$B,MATCH($A12,'10 YR UST'!$A:$A,0))/100</f>
        <v>0.0152</v>
      </c>
      <c r="Z12" s="13" t="n">
        <f aca="false">IF($E12="","",B12/Q12)</f>
        <v>0.0356808440799286</v>
      </c>
      <c r="AA12" s="13" t="n">
        <f aca="false">IF($E12="","",D12/K12)</f>
        <v>0.0376817764466823</v>
      </c>
      <c r="AB12" s="14" t="n">
        <f aca="false">IF($E12="","",Q12/B12)</f>
        <v>28.0262428142087</v>
      </c>
      <c r="AC12" s="14" t="n">
        <f aca="false">IF($E12="","",K12/D12)</f>
        <v>26.538026980096</v>
      </c>
      <c r="AD12" s="15"/>
      <c r="AE12" s="15" t="n">
        <v>0.96</v>
      </c>
      <c r="AG12" s="12" t="n">
        <v>1514678</v>
      </c>
      <c r="AH12" s="12" t="n">
        <v>220415</v>
      </c>
      <c r="AI12" s="12" t="n">
        <v>1153472</v>
      </c>
      <c r="AJ12" s="12" t="n">
        <v>100642</v>
      </c>
      <c r="AK12" s="12" t="n">
        <v>147546</v>
      </c>
      <c r="AL12" s="12" t="n">
        <v>807101</v>
      </c>
      <c r="AM12" s="12" t="n">
        <v>1203170</v>
      </c>
      <c r="AN12" s="12" t="n">
        <v>888344</v>
      </c>
      <c r="AO12" s="12" t="n">
        <v>139759.426</v>
      </c>
      <c r="AP12" s="9" t="s">
        <v>580</v>
      </c>
      <c r="AQ12" s="12" t="n">
        <v>8170431</v>
      </c>
      <c r="AR12" s="12" t="n">
        <v>7349394</v>
      </c>
      <c r="AS12" s="12" t="n">
        <v>754153</v>
      </c>
      <c r="AT12" s="12" t="n">
        <f aca="false">(10033)+(40573)+(13528)+(2750)</f>
        <v>66884</v>
      </c>
      <c r="AU12" s="9" t="n">
        <f aca="false">AR12+AS12+AT12-AQ12</f>
        <v>0</v>
      </c>
      <c r="AV12" s="9" t="s">
        <v>580</v>
      </c>
      <c r="AW12" s="9" t="s">
        <v>580</v>
      </c>
      <c r="AX12" s="12"/>
    </row>
    <row r="13" customFormat="false" ht="15" hidden="false" customHeight="true" outlineLevel="0" collapsed="false">
      <c r="A13" s="2" t="n">
        <v>2020</v>
      </c>
      <c r="B13" s="9" t="n">
        <f aca="false">AG13/1000</f>
        <v>1547.19</v>
      </c>
      <c r="C13" s="9" t="n">
        <f aca="false">AH13/1000</f>
        <v>214.151</v>
      </c>
      <c r="D13" s="9" t="n">
        <f aca="false">B13-C13</f>
        <v>1333.039</v>
      </c>
      <c r="E13" s="10" t="n">
        <v>160.43</v>
      </c>
      <c r="F13" s="11" t="n">
        <f aca="false">AO13/1000</f>
        <v>139.534171</v>
      </c>
      <c r="G13" s="9" t="n">
        <f aca="false">IF($E13="","",E13*F13)</f>
        <v>22385.46705353</v>
      </c>
      <c r="H13" s="9" t="n">
        <f aca="false">AK13/1000</f>
        <v>110.142</v>
      </c>
      <c r="I13" s="9" t="n">
        <f aca="false">AL13/1000</f>
        <v>989.765</v>
      </c>
      <c r="J13" s="9" t="n">
        <f aca="false">H13+I13</f>
        <v>1099.907</v>
      </c>
      <c r="K13" s="9" t="n">
        <f aca="false">IF($E13="","",G13-J13)</f>
        <v>21285.56005353</v>
      </c>
      <c r="L13" s="9" t="n">
        <f aca="false">AR13/1000</f>
        <v>6702.005</v>
      </c>
      <c r="M13" s="9" t="n">
        <f aca="false">AS13/1000</f>
        <v>862.332</v>
      </c>
      <c r="N13" s="12" t="n">
        <v>0</v>
      </c>
      <c r="O13" s="9" t="n">
        <f aca="false">SUM(L13:N13)</f>
        <v>7564.337</v>
      </c>
      <c r="P13" s="9" t="n">
        <f aca="false">IF($E13="","",G13+O13)</f>
        <v>29949.80405353</v>
      </c>
      <c r="Q13" s="9" t="n">
        <f aca="false">IF($E13="","",K13+O13)</f>
        <v>28849.89705353</v>
      </c>
      <c r="R13" s="9" t="n">
        <f aca="false">AI13/1000</f>
        <v>1220.597</v>
      </c>
      <c r="S13" s="5" t="s">
        <v>580</v>
      </c>
      <c r="T13" s="5" t="s">
        <v>580</v>
      </c>
      <c r="U13" s="9" t="n">
        <f aca="false">AJ13/1000</f>
        <v>77.164</v>
      </c>
      <c r="V13" s="9" t="n">
        <f aca="false">R13-U13</f>
        <v>1143.433</v>
      </c>
      <c r="W13" s="9" t="n">
        <f aca="false">AM13/1000</f>
        <v>1219.615</v>
      </c>
      <c r="X13" s="9" t="n">
        <f aca="false">AN13/1000</f>
        <v>883.212</v>
      </c>
      <c r="Y13" s="13" t="n">
        <f aca="false">INDEX('10 YR UST'!$B:$B,MATCH($A13,'10 YR UST'!$A:$A,0))/100</f>
        <v>0.0093</v>
      </c>
      <c r="Z13" s="13" t="n">
        <f aca="false">IF($E13="","",B13/Q13)</f>
        <v>0.0536289608635082</v>
      </c>
      <c r="AA13" s="13" t="n">
        <f aca="false">IF($E13="","",D13/K13)</f>
        <v>0.0626264470677589</v>
      </c>
      <c r="AB13" s="14" t="n">
        <f aca="false">IF($E13="","",Q13/B13)</f>
        <v>18.6466413650101</v>
      </c>
      <c r="AC13" s="14" t="n">
        <f aca="false">IF($E13="","",K13/D13)</f>
        <v>15.9676949087986</v>
      </c>
      <c r="AD13" s="15"/>
      <c r="AE13" s="15" t="n">
        <v>0.946</v>
      </c>
      <c r="AG13" s="12" t="n">
        <v>1547190</v>
      </c>
      <c r="AH13" s="12" t="n">
        <v>214151</v>
      </c>
      <c r="AI13" s="12" t="n">
        <v>1220597</v>
      </c>
      <c r="AJ13" s="12" t="n">
        <v>77164</v>
      </c>
      <c r="AK13" s="12" t="n">
        <v>110142</v>
      </c>
      <c r="AL13" s="12" t="n">
        <v>989765</v>
      </c>
      <c r="AM13" s="12" t="n">
        <v>1219615</v>
      </c>
      <c r="AN13" s="12" t="n">
        <v>883212</v>
      </c>
      <c r="AO13" s="12" t="n">
        <v>139534.171</v>
      </c>
      <c r="AP13" s="9" t="s">
        <v>580</v>
      </c>
      <c r="AQ13" s="12" t="n">
        <v>7629814</v>
      </c>
      <c r="AR13" s="12" t="n">
        <v>6702005</v>
      </c>
      <c r="AS13" s="12" t="n">
        <v>862332</v>
      </c>
      <c r="AT13" s="12" t="n">
        <f aca="false">(10380)+(37615)+(14478)+(3004)</f>
        <v>65477</v>
      </c>
      <c r="AU13" s="9" t="n">
        <f aca="false">AR13+AS13+AT13-AQ13</f>
        <v>0</v>
      </c>
      <c r="AV13" s="9" t="s">
        <v>580</v>
      </c>
      <c r="AW13" s="9" t="s">
        <v>580</v>
      </c>
      <c r="AX13" s="12"/>
    </row>
    <row r="14" customFormat="false" ht="15" hidden="false" customHeight="true" outlineLevel="0" collapsed="false">
      <c r="A14" s="2" t="n">
        <v>2019</v>
      </c>
      <c r="B14" s="9" t="n">
        <f aca="false">AG14/1000</f>
        <v>1627.21</v>
      </c>
      <c r="C14" s="9" t="n">
        <f aca="false">AH14/1000</f>
        <v>203.585</v>
      </c>
      <c r="D14" s="9" t="n">
        <f aca="false">B14-C14</f>
        <v>1423.625</v>
      </c>
      <c r="E14" s="10" t="n">
        <v>209.7</v>
      </c>
      <c r="F14" s="11" t="n">
        <f aca="false">AO14/1000</f>
        <v>140.651462</v>
      </c>
      <c r="G14" s="9" t="n">
        <f aca="false">IF($E14="","",E14*F14)</f>
        <v>29494.6115814</v>
      </c>
      <c r="H14" s="9" t="n">
        <f aca="false">AK14/1000</f>
        <v>0</v>
      </c>
      <c r="I14" s="9" t="n">
        <f aca="false">AL14/1000</f>
        <v>1303.751</v>
      </c>
      <c r="J14" s="9" t="n">
        <f aca="false">H14+I14</f>
        <v>1303.751</v>
      </c>
      <c r="K14" s="9" t="n">
        <f aca="false">IF($E14="","",G14-J14)</f>
        <v>28190.8605814</v>
      </c>
      <c r="L14" s="9" t="n">
        <f aca="false">AR14/1000</f>
        <v>6358.648</v>
      </c>
      <c r="M14" s="9" t="n">
        <f aca="false">AS14/1000</f>
        <v>937.642</v>
      </c>
      <c r="N14" s="12" t="n">
        <v>0</v>
      </c>
      <c r="O14" s="9" t="n">
        <f aca="false">SUM(L14:N14)</f>
        <v>7296.29</v>
      </c>
      <c r="P14" s="9" t="n">
        <f aca="false">IF($E14="","",G14+O14)</f>
        <v>36790.9015814</v>
      </c>
      <c r="Q14" s="9" t="n">
        <f aca="false">IF($E14="","",K14+O14)</f>
        <v>35487.1505814</v>
      </c>
      <c r="R14" s="9" t="n">
        <f aca="false">AI14/1000</f>
        <v>1303.207</v>
      </c>
      <c r="S14" s="5" t="s">
        <v>580</v>
      </c>
      <c r="T14" s="5" t="s">
        <v>580</v>
      </c>
      <c r="U14" s="9" t="n">
        <f aca="false">AJ14/1000</f>
        <v>89.285</v>
      </c>
      <c r="V14" s="9" t="n">
        <f aca="false">R14-U14</f>
        <v>1213.922</v>
      </c>
      <c r="W14" s="9" t="n">
        <f aca="false">AM14/1000</f>
        <v>1321.804</v>
      </c>
      <c r="X14" s="9" t="n">
        <f aca="false">AN14/1000</f>
        <v>839.646</v>
      </c>
      <c r="Y14" s="13" t="n">
        <f aca="false">INDEX('10 YR UST'!$B:$B,MATCH($A14,'10 YR UST'!$A:$A,0))/100</f>
        <v>0.0192</v>
      </c>
      <c r="Z14" s="13" t="n">
        <f aca="false">IF($E14="","",B14/Q14)</f>
        <v>0.0458534983322351</v>
      </c>
      <c r="AA14" s="13" t="n">
        <f aca="false">IF($E14="","",D14/K14)</f>
        <v>0.0504995225629717</v>
      </c>
      <c r="AB14" s="14" t="n">
        <f aca="false">IF($E14="","",Q14/B14)</f>
        <v>21.8085868335372</v>
      </c>
      <c r="AC14" s="14" t="n">
        <f aca="false">IF($E14="","",K14/D14)</f>
        <v>19.8021674116428</v>
      </c>
      <c r="AD14" s="16"/>
      <c r="AE14" s="15" t="n">
        <v>0.96</v>
      </c>
      <c r="AG14" s="12" t="n">
        <v>1627210</v>
      </c>
      <c r="AH14" s="12" t="n">
        <v>203585</v>
      </c>
      <c r="AI14" s="12" t="n">
        <v>1303207</v>
      </c>
      <c r="AJ14" s="12" t="n">
        <v>89285</v>
      </c>
      <c r="AK14" s="12" t="n">
        <v>0</v>
      </c>
      <c r="AL14" s="12" t="n">
        <v>1303751</v>
      </c>
      <c r="AM14" s="12" t="n">
        <v>1321804</v>
      </c>
      <c r="AN14" s="12" t="n">
        <v>839646</v>
      </c>
      <c r="AO14" s="12" t="n">
        <v>140651.462</v>
      </c>
      <c r="AP14" s="9" t="s">
        <v>580</v>
      </c>
      <c r="AQ14" s="12" t="n">
        <v>7355371</v>
      </c>
      <c r="AR14" s="12" t="n">
        <v>6358648</v>
      </c>
      <c r="AS14" s="12" t="n">
        <v>937642</v>
      </c>
      <c r="AT14" s="12" t="n">
        <f aca="false">(8610)+(32742)+(14464)+(3265)</f>
        <v>59081</v>
      </c>
      <c r="AU14" s="9" t="n">
        <f aca="false">AR14+AS14+AT14-AQ14</f>
        <v>0</v>
      </c>
      <c r="AV14" s="9" t="s">
        <v>580</v>
      </c>
      <c r="AW14" s="9" t="s">
        <v>580</v>
      </c>
      <c r="AX14" s="12"/>
    </row>
    <row r="15" customFormat="false" ht="15" hidden="false" customHeight="true" outlineLevel="0" collapsed="false">
      <c r="A15" s="2" t="n">
        <v>2018</v>
      </c>
      <c r="B15" s="9" t="n">
        <f aca="false">AG15/1000</f>
        <v>1539.586</v>
      </c>
      <c r="C15" s="9" t="n">
        <f aca="false">AH15/1000</f>
        <v>220.974</v>
      </c>
      <c r="D15" s="9" t="n">
        <f aca="false">B15-C15</f>
        <v>1318.612</v>
      </c>
      <c r="E15" s="10" t="n">
        <v>174.05</v>
      </c>
      <c r="F15" s="11" t="n">
        <f aca="false">AO15/1000</f>
        <v>138.515924</v>
      </c>
      <c r="G15" s="9" t="n">
        <f aca="false">IF($E15="","",E15*F15)</f>
        <v>24108.6965722</v>
      </c>
      <c r="H15" s="9" t="n">
        <f aca="false">AK15/1000</f>
        <v>84.712</v>
      </c>
      <c r="I15" s="9" t="n">
        <f aca="false">AL15/1000</f>
        <v>1768.132</v>
      </c>
      <c r="J15" s="9" t="n">
        <f aca="false">H15+I15</f>
        <v>1852.844</v>
      </c>
      <c r="K15" s="9" t="n">
        <f aca="false">IF($E15="","",G15-J15)</f>
        <v>22255.8525722</v>
      </c>
      <c r="L15" s="9" t="n">
        <f aca="false">AR15/1000</f>
        <v>5905.993</v>
      </c>
      <c r="M15" s="9" t="n">
        <f aca="false">AS15/1000</f>
        <v>1134.27</v>
      </c>
      <c r="N15" s="12" t="n">
        <v>0</v>
      </c>
      <c r="O15" s="9" t="n">
        <f aca="false">SUM(L15:N15)</f>
        <v>7040.263</v>
      </c>
      <c r="P15" s="9" t="n">
        <f aca="false">IF($E15="","",G15+O15)</f>
        <v>31148.9595722</v>
      </c>
      <c r="Q15" s="9" t="n">
        <f aca="false">IF($E15="","",K15+O15)</f>
        <v>29296.1155722</v>
      </c>
      <c r="R15" s="9" t="n">
        <f aca="false">AI15/1000</f>
        <v>1244.286</v>
      </c>
      <c r="S15" s="5" t="s">
        <v>580</v>
      </c>
      <c r="T15" s="5" t="s">
        <v>580</v>
      </c>
      <c r="U15" s="9" t="n">
        <f aca="false">AJ15/1000</f>
        <v>69.028</v>
      </c>
      <c r="V15" s="9" t="n">
        <f aca="false">R15-U15</f>
        <v>1175.258</v>
      </c>
      <c r="W15" s="9" t="n">
        <f aca="false">AM15/1000</f>
        <v>1301.111</v>
      </c>
      <c r="X15" s="9" t="n">
        <f aca="false">AN15/1000</f>
        <v>805.239</v>
      </c>
      <c r="Y15" s="13" t="n">
        <f aca="false">INDEX('10 YR UST'!$B:$B,MATCH($A15,'10 YR UST'!$A:$A,0))/100</f>
        <v>0.0269</v>
      </c>
      <c r="Z15" s="13" t="n">
        <f aca="false">IF($E15="","",B15/Q15)</f>
        <v>0.0525525643905147</v>
      </c>
      <c r="AA15" s="13" t="n">
        <f aca="false">IF($E15="","",D15/K15)</f>
        <v>0.0592478762933167</v>
      </c>
      <c r="AB15" s="14" t="n">
        <f aca="false">IF($E15="","",Q15/B15)</f>
        <v>19.0285671422058</v>
      </c>
      <c r="AC15" s="14" t="n">
        <f aca="false">IF($E15="","",K15/D15)</f>
        <v>16.8782421001781</v>
      </c>
      <c r="AD15" s="15"/>
      <c r="AE15" s="15" t="n">
        <v>0.961</v>
      </c>
      <c r="AG15" s="12" t="n">
        <v>1539586</v>
      </c>
      <c r="AH15" s="12" t="n">
        <v>220974</v>
      </c>
      <c r="AI15" s="12" t="n">
        <v>1244286</v>
      </c>
      <c r="AJ15" s="12" t="n">
        <v>69028</v>
      </c>
      <c r="AK15" s="12" t="n">
        <v>84712</v>
      </c>
      <c r="AL15" s="12" t="n">
        <v>1768132</v>
      </c>
      <c r="AM15" s="12" t="n">
        <v>1301111</v>
      </c>
      <c r="AN15" s="12" t="n">
        <v>805239</v>
      </c>
      <c r="AO15" s="12" t="n">
        <v>138515.924</v>
      </c>
      <c r="AP15" s="9" t="s">
        <v>580</v>
      </c>
      <c r="AQ15" s="12" t="n">
        <v>7102355</v>
      </c>
      <c r="AR15" s="12" t="n">
        <v>5905993</v>
      </c>
      <c r="AS15" s="12" t="n">
        <v>1134270</v>
      </c>
      <c r="AT15" s="12" t="n">
        <f aca="false">(9879)+(34128)+(14590)+(3495)</f>
        <v>62092</v>
      </c>
      <c r="AU15" s="9" t="n">
        <f aca="false">AR15+AS15+AT15-AQ15</f>
        <v>0</v>
      </c>
      <c r="AV15" s="9" t="s">
        <v>580</v>
      </c>
      <c r="AW15" s="9" t="s">
        <v>580</v>
      </c>
      <c r="AX15" s="12"/>
    </row>
    <row r="16" customFormat="false" ht="15" hidden="false" customHeight="true" outlineLevel="0" collapsed="false">
      <c r="A16" s="2" t="n">
        <v>2017</v>
      </c>
      <c r="B16" s="9" t="n">
        <f aca="false">AG16/1000</f>
        <v>1490.068</v>
      </c>
      <c r="C16" s="9" t="n">
        <f aca="false">AH16/1000</f>
        <v>199.661</v>
      </c>
      <c r="D16" s="9" t="n">
        <f aca="false">B16-C16</f>
        <v>1290.407</v>
      </c>
      <c r="E16" s="10" t="n">
        <v>178.41</v>
      </c>
      <c r="F16" s="11" t="n">
        <f aca="false">AO16/1000</f>
        <v>138.101654</v>
      </c>
      <c r="G16" s="9" t="n">
        <f aca="false">IF($E16="","",E16*F16)</f>
        <v>24638.71609014</v>
      </c>
      <c r="H16" s="9" t="n">
        <f aca="false">AK16/1000</f>
        <v>68.364</v>
      </c>
      <c r="I16" s="9" t="n">
        <f aca="false">AL16/1000</f>
        <v>1306.3</v>
      </c>
      <c r="J16" s="9" t="n">
        <f aca="false">H16+I16</f>
        <v>1374.664</v>
      </c>
      <c r="K16" s="9" t="n">
        <f aca="false">IF($E16="","",G16-J16)</f>
        <v>23264.05209014</v>
      </c>
      <c r="L16" s="9" t="n">
        <f aca="false">AR16/1000</f>
        <v>5852.764</v>
      </c>
      <c r="M16" s="9" t="n">
        <f aca="false">AS16/1000</f>
        <v>1476.706</v>
      </c>
      <c r="N16" s="12" t="n">
        <v>0</v>
      </c>
      <c r="O16" s="9" t="n">
        <f aca="false">SUM(L16:N16)</f>
        <v>7329.47</v>
      </c>
      <c r="P16" s="9" t="n">
        <f aca="false">IF($E16="","",G16+O16)</f>
        <v>31968.18609014</v>
      </c>
      <c r="Q16" s="9" t="n">
        <f aca="false">IF($E16="","",K16+O16)</f>
        <v>30593.52209014</v>
      </c>
      <c r="R16" s="9" t="n">
        <f aca="false">AI16/1000</f>
        <v>1189.976</v>
      </c>
      <c r="S16" s="5" t="s">
        <v>580</v>
      </c>
      <c r="T16" s="5" t="s">
        <v>580</v>
      </c>
      <c r="U16" s="9" t="n">
        <f aca="false">AJ16/1000</f>
        <v>59.522</v>
      </c>
      <c r="V16" s="9" t="n">
        <f aca="false">R16-U16</f>
        <v>1130.454</v>
      </c>
      <c r="W16" s="9" t="n">
        <f aca="false">AM16/1000</f>
        <v>1256.257</v>
      </c>
      <c r="X16" s="9" t="n">
        <f aca="false">AN16/1000</f>
        <v>772.657</v>
      </c>
      <c r="Y16" s="13" t="n">
        <f aca="false">INDEX('10 YR UST'!$B:$B,MATCH($A16,'10 YR UST'!$A:$A,0))/100</f>
        <v>0.024</v>
      </c>
      <c r="Z16" s="13" t="n">
        <f aca="false">IF($E16="","",B16/Q16)</f>
        <v>0.0487053434256344</v>
      </c>
      <c r="AA16" s="13" t="n">
        <f aca="false">IF($E16="","",D16/K16)</f>
        <v>0.0554678520749579</v>
      </c>
      <c r="AB16" s="14" t="n">
        <f aca="false">IF($E16="","",Q16/B16)</f>
        <v>20.5316281472658</v>
      </c>
      <c r="AC16" s="14" t="n">
        <f aca="false">IF($E16="","",K16/D16)</f>
        <v>18.0284608578069</v>
      </c>
      <c r="AD16" s="15"/>
      <c r="AE16" s="15" t="n">
        <v>0.955</v>
      </c>
      <c r="AG16" s="12" t="n">
        <v>1490068</v>
      </c>
      <c r="AH16" s="12" t="n">
        <v>199661</v>
      </c>
      <c r="AI16" s="12" t="n">
        <v>1189976</v>
      </c>
      <c r="AJ16" s="12" t="n">
        <v>59522</v>
      </c>
      <c r="AK16" s="12" t="n">
        <v>68364</v>
      </c>
      <c r="AL16" s="12" t="n">
        <v>1306300</v>
      </c>
      <c r="AM16" s="12" t="n">
        <v>1256257</v>
      </c>
      <c r="AN16" s="12" t="n">
        <v>772657</v>
      </c>
      <c r="AO16" s="12" t="n">
        <v>138101.654</v>
      </c>
      <c r="AP16" s="9" t="s">
        <v>580</v>
      </c>
      <c r="AQ16" s="12" t="n">
        <v>7404313</v>
      </c>
      <c r="AR16" s="12" t="n">
        <v>5852764</v>
      </c>
      <c r="AS16" s="12" t="n">
        <v>1476706</v>
      </c>
      <c r="AT16" s="12" t="n">
        <f aca="false">(10850)+(36386)+(16351)+(11256)</f>
        <v>74843</v>
      </c>
      <c r="AU16" s="9" t="n">
        <f aca="false">AR16+AS16+AT16-AQ16</f>
        <v>0</v>
      </c>
      <c r="AV16" s="9" t="s">
        <v>580</v>
      </c>
      <c r="AW16" s="9" t="s">
        <v>580</v>
      </c>
      <c r="AX16" s="12"/>
    </row>
    <row r="17" customFormat="false" ht="15" hidden="false" customHeight="true" outlineLevel="0" collapsed="false">
      <c r="A17" s="2" t="n">
        <v>2016</v>
      </c>
      <c r="B17" s="9" t="n">
        <f aca="false">AG17/1000</f>
        <v>1410.697</v>
      </c>
      <c r="C17" s="9" t="n">
        <f aca="false">AH17/1000</f>
        <v>187.51</v>
      </c>
      <c r="D17" s="9" t="n">
        <f aca="false">B17-C17</f>
        <v>1223.187</v>
      </c>
      <c r="E17" s="10" t="n">
        <v>177.15</v>
      </c>
      <c r="F17" s="11" t="n">
        <f aca="false">AO17/1000</f>
        <v>137.338404</v>
      </c>
      <c r="G17" s="9" t="n">
        <f aca="false">IF($E17="","",E17*F17)</f>
        <v>24329.4982686</v>
      </c>
      <c r="H17" s="9" t="n">
        <f aca="false">AK17/1000</f>
        <v>84.293</v>
      </c>
      <c r="I17" s="9" t="n">
        <f aca="false">AL17/1000</f>
        <v>1882.262</v>
      </c>
      <c r="J17" s="9" t="n">
        <f aca="false">H17+I17</f>
        <v>1966.555</v>
      </c>
      <c r="K17" s="9" t="n">
        <f aca="false">IF($E17="","",G17-J17)</f>
        <v>22362.9432686</v>
      </c>
      <c r="L17" s="9" t="n">
        <f aca="false">AR17/1000</f>
        <v>4463.302</v>
      </c>
      <c r="M17" s="9" t="n">
        <f aca="false">AS17/1000</f>
        <v>2567.578</v>
      </c>
      <c r="N17" s="12" t="n">
        <v>0</v>
      </c>
      <c r="O17" s="9" t="n">
        <f aca="false">SUM(L17:N17)</f>
        <v>7030.88</v>
      </c>
      <c r="P17" s="9" t="n">
        <f aca="false">IF($E17="","",G17+O17)</f>
        <v>31360.3782686</v>
      </c>
      <c r="Q17" s="9" t="n">
        <f aca="false">IF($E17="","",K17+O17)</f>
        <v>29393.8232686</v>
      </c>
      <c r="R17" s="9" t="n">
        <f aca="false">AI17/1000</f>
        <v>1125.341</v>
      </c>
      <c r="S17" s="5" t="s">
        <v>580</v>
      </c>
      <c r="T17" s="5" t="s">
        <v>580</v>
      </c>
      <c r="U17" s="9" t="n">
        <f aca="false">AJ17/1000</f>
        <v>64.509</v>
      </c>
      <c r="V17" s="9" t="n">
        <f aca="false">R17-U17</f>
        <v>1060.832</v>
      </c>
      <c r="W17" s="9" t="n">
        <f aca="false">AM17/1000</f>
        <v>1143.484</v>
      </c>
      <c r="X17" s="9" t="n">
        <f aca="false">AN17/1000</f>
        <v>726.749</v>
      </c>
      <c r="Y17" s="13" t="n">
        <f aca="false">INDEX('10 YR UST'!$B:$B,MATCH($A17,'10 YR UST'!$A:$A,0))/100</f>
        <v>0.0245</v>
      </c>
      <c r="Z17" s="13" t="n">
        <f aca="false">IF($E17="","",B17/Q17)</f>
        <v>0.0479929741398078</v>
      </c>
      <c r="AA17" s="13" t="n">
        <f aca="false">IF($E17="","",D17/K17)</f>
        <v>0.0546970488324534</v>
      </c>
      <c r="AB17" s="14" t="n">
        <f aca="false">IF($E17="","",Q17/B17)</f>
        <v>20.8363831982346</v>
      </c>
      <c r="AC17" s="14" t="n">
        <f aca="false">IF($E17="","",K17/D17)</f>
        <v>18.2825220253322</v>
      </c>
      <c r="AD17" s="16"/>
      <c r="AE17" s="15" t="n">
        <v>0.955</v>
      </c>
      <c r="AG17" s="12" t="n">
        <v>1410697</v>
      </c>
      <c r="AH17" s="12" t="n">
        <v>187510</v>
      </c>
      <c r="AI17" s="12" t="n">
        <v>1125341</v>
      </c>
      <c r="AJ17" s="12" t="n">
        <v>64509</v>
      </c>
      <c r="AK17" s="12" t="n">
        <v>84293</v>
      </c>
      <c r="AL17" s="12" t="n">
        <v>1882262</v>
      </c>
      <c r="AM17" s="12" t="n">
        <v>1143484</v>
      </c>
      <c r="AN17" s="12" t="n">
        <v>726749</v>
      </c>
      <c r="AO17" s="12" t="n">
        <v>137338.404</v>
      </c>
      <c r="AP17" s="9" t="s">
        <v>580</v>
      </c>
      <c r="AQ17" s="12" t="n">
        <v>7076758</v>
      </c>
      <c r="AR17" s="12" t="n">
        <v>4463302</v>
      </c>
      <c r="AS17" s="12" t="n">
        <v>2567578</v>
      </c>
      <c r="AT17" s="12" t="n">
        <f aca="false">(8930)+(27768)+(-1866)+(11046)</f>
        <v>45878</v>
      </c>
      <c r="AU17" s="9" t="n">
        <f aca="false">AR17+AS17+AT17-AQ17</f>
        <v>0</v>
      </c>
      <c r="AV17" s="9" t="s">
        <v>580</v>
      </c>
      <c r="AW17" s="9" t="s">
        <v>580</v>
      </c>
      <c r="AX17" s="12"/>
    </row>
    <row r="20" customFormat="false" ht="15" hidden="false" customHeight="true" outlineLevel="0" collapsed="false">
      <c r="A20" s="2" t="s">
        <v>581</v>
      </c>
    </row>
    <row r="21" customFormat="false" ht="15" hidden="false" customHeight="true" outlineLevel="0" collapsed="false">
      <c r="A21" s="5" t="s">
        <v>582</v>
      </c>
    </row>
    <row r="22" customFormat="false" ht="15" hidden="false" customHeight="true" outlineLevel="0" collapsed="false">
      <c r="A22" s="5" t="s">
        <v>583</v>
      </c>
    </row>
    <row r="23" customFormat="false" ht="15" hidden="false" customHeight="true" outlineLevel="0" collapsed="false">
      <c r="A23" s="5" t="s">
        <v>584</v>
      </c>
    </row>
    <row r="24" customFormat="false" ht="15" hidden="false" customHeight="true" outlineLevel="0" collapsed="false">
      <c r="A24" s="5" t="s">
        <v>585</v>
      </c>
    </row>
    <row r="25" customFormat="false" ht="15" hidden="false" customHeight="true" outlineLevel="0" collapsed="false">
      <c r="A25" s="5" t="s">
        <v>586</v>
      </c>
    </row>
    <row r="26" customFormat="false" ht="15" hidden="false" customHeight="true" outlineLevel="0" collapsed="false">
      <c r="A26" s="5" t="s">
        <v>587</v>
      </c>
    </row>
    <row r="27" customFormat="false" ht="15" hidden="false" customHeight="true" outlineLevel="0" collapsed="false">
      <c r="A27" s="5" t="s">
        <v>588</v>
      </c>
    </row>
    <row r="28" customFormat="false" ht="15" hidden="false" customHeight="true" outlineLevel="0" collapsed="false">
      <c r="A28" s="5" t="s">
        <v>589</v>
      </c>
    </row>
    <row r="29" customFormat="false" ht="15" hidden="false" customHeight="true" outlineLevel="0" collapsed="false">
      <c r="A29" s="5" t="s">
        <v>590</v>
      </c>
    </row>
    <row r="30" customFormat="false" ht="15" hidden="false" customHeight="true" outlineLevel="0" collapsed="false">
      <c r="A30" s="5" t="s">
        <v>591</v>
      </c>
    </row>
    <row r="31" customFormat="false" ht="15" hidden="false" customHeight="true" outlineLevel="0" collapsed="false">
      <c r="A31" s="5" t="s">
        <v>592</v>
      </c>
    </row>
    <row r="32" customFormat="false" ht="15" hidden="false" customHeight="true" outlineLevel="0" collapsed="false">
      <c r="A32" s="5" t="s">
        <v>593</v>
      </c>
    </row>
    <row r="33" customFormat="false" ht="15" hidden="false" customHeight="true" outlineLevel="0" collapsed="false">
      <c r="A33" s="5" t="s">
        <v>594</v>
      </c>
    </row>
    <row r="34" customFormat="false" ht="15" hidden="false" customHeight="true" outlineLevel="0" collapsed="false">
      <c r="A34" s="5" t="s">
        <v>595</v>
      </c>
    </row>
    <row r="35" customFormat="false" ht="15" hidden="false" customHeight="true" outlineLevel="0" collapsed="false">
      <c r="A35" s="5" t="s">
        <v>596</v>
      </c>
    </row>
    <row r="36" customFormat="false" ht="15" hidden="false" customHeight="true" outlineLevel="0" collapsed="false">
      <c r="A36" s="5" t="s">
        <v>597</v>
      </c>
    </row>
    <row r="37" customFormat="false" ht="15" hidden="false" customHeight="true" outlineLevel="0" collapsed="false">
      <c r="A37" s="5" t="s">
        <v>598</v>
      </c>
    </row>
    <row r="38" customFormat="false" ht="15" hidden="false" customHeight="true" outlineLevel="0" collapsed="false">
      <c r="A38" s="5" t="s">
        <v>599</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C4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29" min="1" style="1" width="15"/>
  </cols>
  <sheetData>
    <row r="1" customFormat="false" ht="15" hidden="false" customHeight="true" outlineLevel="0" collapsed="false">
      <c r="A1" s="4" t="s">
        <v>600</v>
      </c>
    </row>
    <row r="2" customFormat="false" ht="15" hidden="false" customHeight="true" outlineLevel="0" collapsed="false">
      <c r="A2" s="17" t="s">
        <v>601</v>
      </c>
    </row>
    <row r="3" customFormat="false" ht="75" hidden="false" customHeight="true" outlineLevel="0" collapsed="false">
      <c r="A3" s="8" t="s">
        <v>533</v>
      </c>
      <c r="B3" s="8" t="s">
        <v>602</v>
      </c>
      <c r="C3" s="8" t="s">
        <v>557</v>
      </c>
      <c r="D3" s="8" t="s">
        <v>603</v>
      </c>
      <c r="E3" s="8" t="s">
        <v>604</v>
      </c>
      <c r="F3" s="8" t="s">
        <v>605</v>
      </c>
      <c r="G3" s="8" t="s">
        <v>606</v>
      </c>
      <c r="H3" s="8" t="s">
        <v>607</v>
      </c>
      <c r="I3" s="8" t="s">
        <v>608</v>
      </c>
      <c r="J3" s="8" t="s">
        <v>560</v>
      </c>
      <c r="K3" s="8" t="s">
        <v>561</v>
      </c>
      <c r="L3" s="8" t="s">
        <v>534</v>
      </c>
      <c r="M3" s="8" t="s">
        <v>549</v>
      </c>
      <c r="N3" s="8" t="s">
        <v>536</v>
      </c>
      <c r="O3" s="8" t="s">
        <v>543</v>
      </c>
      <c r="P3" s="8" t="s">
        <v>609</v>
      </c>
      <c r="Q3" s="8" t="s">
        <v>610</v>
      </c>
      <c r="R3" s="8" t="s">
        <v>611</v>
      </c>
      <c r="S3" s="8" t="s">
        <v>612</v>
      </c>
      <c r="T3" s="8" t="s">
        <v>613</v>
      </c>
      <c r="U3" s="8" t="s">
        <v>614</v>
      </c>
      <c r="V3" s="8" t="s">
        <v>615</v>
      </c>
      <c r="W3" s="8" t="s">
        <v>616</v>
      </c>
      <c r="X3" s="8" t="s">
        <v>617</v>
      </c>
      <c r="Y3" s="8" t="s">
        <v>618</v>
      </c>
      <c r="Z3" s="8" t="s">
        <v>619</v>
      </c>
      <c r="AA3" s="8" t="s">
        <v>620</v>
      </c>
      <c r="AB3" s="8" t="s">
        <v>621</v>
      </c>
      <c r="AC3" s="8" t="s">
        <v>622</v>
      </c>
    </row>
    <row r="4" customFormat="false" ht="15" hidden="false" customHeight="true" outlineLevel="0" collapsed="false">
      <c r="A4" s="2" t="n">
        <v>2016</v>
      </c>
      <c r="B4" s="13" t="n">
        <f aca="false">INDEX(AVB!$Z$8:$Z$17,MATCH($A4,AVB!$A$8:$A$17,0))</f>
        <v>0.0479929741398078</v>
      </c>
      <c r="C4" s="13" t="n">
        <f aca="false">INDEX(AVB!$Y$8:$Y$17,MATCH($A4,AVB!$A$8:$A$17,0))</f>
        <v>0.0245</v>
      </c>
      <c r="D4" s="13" t="n">
        <f aca="false">B4-C4</f>
        <v>0.0234929741398078</v>
      </c>
      <c r="E4" s="13" t="n">
        <f aca="false">INDEX(AVB!$AA$8:$AA$17,MATCH($A4,AVB!$A$8:$A$17,0))</f>
        <v>0.0546970488324534</v>
      </c>
      <c r="F4" s="13" t="n">
        <f aca="false">E4-B4</f>
        <v>0.00670407469264565</v>
      </c>
      <c r="G4" s="13" t="n">
        <f aca="false">INDEX('Costar - US Multifamily'!$F$2:$F$34,MATCH($A4,'Costar - US Multifamily'!$A$2:$A$34,0))</f>
        <v>0.0661997473427734</v>
      </c>
      <c r="H4" s="13" t="n">
        <f aca="false">INDEX('Costar - US Multifamily'!$I$2:$I$34,MATCH($A4,'Costar - US Multifamily'!$A$2:$A$34,0))</f>
        <v>0.0275386662713405</v>
      </c>
      <c r="I4" s="13" t="n">
        <f aca="false">INDEX('Costar - US Multifamily'!$C$2:$C$34,MATCH($A4,'Costar - US Multifamily'!$A$2:$A$34,0))/INDEX('Costar - US Multifamily'!$B$2:$B$34,MATCH($A4,'Costar - US Multifamily'!$A$2:$A$34,0))</f>
        <v>0.0205364859117959</v>
      </c>
      <c r="J4" s="18" t="n">
        <f aca="false">INDEX(AVB!$AB$8:$AB$17,MATCH($A4,AVB!$A$8:$A$17,0))</f>
        <v>20.8363831982346</v>
      </c>
      <c r="K4" s="18" t="n">
        <f aca="false">INDEX(AVB!$AC$8:$AC$17,MATCH($A4,AVB!$A$8:$A$17,0))</f>
        <v>18.2825220253322</v>
      </c>
      <c r="L4" s="9" t="n">
        <f aca="false">INDEX(AVB!$B$8:$B$17,MATCH($A4,AVB!$A$8:$A$17,0))</f>
        <v>1410.697</v>
      </c>
      <c r="M4" s="9" t="n">
        <f aca="false">INDEX(AVB!$Q$8:$Q$17,MATCH($A4,AVB!$A$8:$A$17,0))</f>
        <v>29393.8232686</v>
      </c>
      <c r="N4" s="9" t="n">
        <f aca="false">INDEX(AVB!$D$8:$D$17,MATCH($A4,AVB!$A$8:$A$17,0))</f>
        <v>1223.187</v>
      </c>
      <c r="O4" s="9" t="n">
        <f aca="false">INDEX(AVB!$K$8:$K$17,MATCH($A4,AVB!$A$8:$A$17,0))</f>
        <v>22362.9432686</v>
      </c>
      <c r="P4" s="13" t="n">
        <f aca="false">INDEX('Prime Rate'!$B$2:$B$13,MATCH($A4,'Prime Rate'!$A$2:$A$13,0))/100</f>
        <v>0.0351</v>
      </c>
      <c r="Q4" s="9" t="n">
        <f aca="false">M4-L4</f>
        <v>27983.1262686</v>
      </c>
      <c r="R4" s="9" t="n">
        <f aca="false">O4-N4</f>
        <v>21139.7562686</v>
      </c>
      <c r="S4" s="13" t="n">
        <f aca="false">INDEX(Inflation!$G$4:$G$21,MATCH($A4,Inflation!$A$4:$A$21,0))</f>
        <v>0.0126707791495431</v>
      </c>
      <c r="T4" s="13" t="n">
        <f aca="false">INDEX('Green Street National'!$D$4:$D$18,MATCH($A4,'Green Street National'!$A$4:$A$18,0))</f>
        <v>0.04852258</v>
      </c>
      <c r="U4" s="18" t="n">
        <f aca="false">INDEX('Green Street National'!$F$4:$F$18,MATCH($A4,'Green Street National'!$A$4:$A$18,0))</f>
        <v>100</v>
      </c>
      <c r="V4" s="18" t="n">
        <f aca="false">INDEX(Inflation!$D$4:$D$21,MATCH($A4,Inflation!$A$4:$A$21,0))</f>
        <v>100</v>
      </c>
      <c r="W4" s="18" t="n">
        <f aca="false">INDEX(Inflation!$E$4:$E$21,MATCH($A4,Inflation!$A$4:$A$21,0))</f>
        <v>100</v>
      </c>
      <c r="X4" s="18" t="n">
        <f aca="false">INDEX('Costar - US Multifamily'!$H$2:$H$34,MATCH($A4,'Costar - US Multifamily'!$A$2:$A$34,0))/INDEX('Costar - US Multifamily'!$H$2:$H$34,MATCH(2016,'Costar - US Multifamily'!$A$2:$A$34,0))*100</f>
        <v>100</v>
      </c>
      <c r="Y4" s="13" t="n">
        <f aca="false">INDEX('Green Street National'!$C$4:$C$18,MATCH($A4,'Green Street National'!$A$4:$A$18,0))</f>
        <v>0.01663905</v>
      </c>
      <c r="Z4" s="13" t="n">
        <f aca="false">INDEX('Costar - US Multifamily'!$F$2:$F$34,MATCH($A4-1,'Costar - US Multifamily'!$A$2:$A$34,0))-INDEX('Costar - US Multifamily'!$F$2:$F$34,MATCH($A4,'Costar - US Multifamily'!$A$2:$A$34,0))</f>
        <v>-0.0032131800575991</v>
      </c>
      <c r="AA4" s="9" t="n">
        <f aca="false">INDEX('Costar - US Multifamily'!$H$2:$H$34,MATCH($A4,'Costar - US Multifamily'!$A$2:$A$34,0))</f>
        <v>1376.36653028372</v>
      </c>
      <c r="AB4" s="19" t="n">
        <f aca="false">1-INDEX('Costar - US Multifamily'!$F$2:$F$34,MATCH($A4,'Costar - US Multifamily'!$A$2:$A$34,0))</f>
        <v>0.933800252657227</v>
      </c>
      <c r="AC4" s="18" t="n">
        <f aca="false">100</f>
        <v>100</v>
      </c>
    </row>
    <row r="5" customFormat="false" ht="15" hidden="false" customHeight="true" outlineLevel="0" collapsed="false">
      <c r="A5" s="2" t="n">
        <v>2017</v>
      </c>
      <c r="B5" s="13" t="n">
        <f aca="false">INDEX(AVB!$Z$8:$Z$17,MATCH($A5,AVB!$A$8:$A$17,0))</f>
        <v>0.0487053434256344</v>
      </c>
      <c r="C5" s="13" t="n">
        <f aca="false">INDEX(AVB!$Y$8:$Y$17,MATCH($A5,AVB!$A$8:$A$17,0))</f>
        <v>0.024</v>
      </c>
      <c r="D5" s="13" t="n">
        <f aca="false">B5-C5</f>
        <v>0.0247053434256344</v>
      </c>
      <c r="E5" s="13" t="n">
        <f aca="false">INDEX(AVB!$AA$8:$AA$17,MATCH($A5,AVB!$A$8:$A$17,0))</f>
        <v>0.0554678520749579</v>
      </c>
      <c r="F5" s="13" t="n">
        <f aca="false">E5-B5</f>
        <v>0.00676250864932351</v>
      </c>
      <c r="G5" s="13" t="n">
        <f aca="false">INDEX('Costar - US Multifamily'!$F$2:$F$34,MATCH($A5,'Costar - US Multifamily'!$A$2:$A$34,0))</f>
        <v>0.0682590756692329</v>
      </c>
      <c r="H5" s="13" t="n">
        <f aca="false">INDEX('Costar - US Multifamily'!$I$2:$I$34,MATCH($A5,'Costar - US Multifamily'!$A$2:$A$34,0))</f>
        <v>0.0270137577423179</v>
      </c>
      <c r="I5" s="13" t="n">
        <f aca="false">INDEX('Costar - US Multifamily'!$C$2:$C$34,MATCH($A5,'Costar - US Multifamily'!$A$2:$A$34,0))/INDEX('Costar - US Multifamily'!$B$2:$B$34,MATCH($A5,'Costar - US Multifamily'!$A$2:$A$34,0))</f>
        <v>0.0224537348225863</v>
      </c>
      <c r="J5" s="18" t="n">
        <f aca="false">INDEX(AVB!$AB$8:$AB$17,MATCH($A5,AVB!$A$8:$A$17,0))</f>
        <v>20.5316281472658</v>
      </c>
      <c r="K5" s="18" t="n">
        <f aca="false">INDEX(AVB!$AC$8:$AC$17,MATCH($A5,AVB!$A$8:$A$17,0))</f>
        <v>18.0284608578069</v>
      </c>
      <c r="L5" s="9" t="n">
        <f aca="false">INDEX(AVB!$B$8:$B$17,MATCH($A5,AVB!$A$8:$A$17,0))</f>
        <v>1490.068</v>
      </c>
      <c r="M5" s="9" t="n">
        <f aca="false">INDEX(AVB!$Q$8:$Q$17,MATCH($A5,AVB!$A$8:$A$17,0))</f>
        <v>30593.52209014</v>
      </c>
      <c r="N5" s="9" t="n">
        <f aca="false">INDEX(AVB!$D$8:$D$17,MATCH($A5,AVB!$A$8:$A$17,0))</f>
        <v>1290.407</v>
      </c>
      <c r="O5" s="9" t="n">
        <f aca="false">INDEX(AVB!$K$8:$K$17,MATCH($A5,AVB!$A$8:$A$17,0))</f>
        <v>23264.05209014</v>
      </c>
      <c r="P5" s="13" t="n">
        <f aca="false">INDEX('Prime Rate'!$B$2:$B$13,MATCH($A5,'Prime Rate'!$A$2:$A$13,0))/100</f>
        <v>0.041</v>
      </c>
      <c r="Q5" s="9" t="n">
        <f aca="false">M5-L5</f>
        <v>29103.45409014</v>
      </c>
      <c r="R5" s="9" t="n">
        <f aca="false">O5-N5</f>
        <v>21973.64509014</v>
      </c>
      <c r="S5" s="13" t="n">
        <f aca="false">INDEX(Inflation!$G$4:$G$21,MATCH($A5,Inflation!$A$4:$A$21,0))</f>
        <v>0.0213162225786963</v>
      </c>
      <c r="T5" s="13" t="n">
        <f aca="false">INDEX('Green Street National'!$D$4:$D$18,MATCH($A5,'Green Street National'!$A$4:$A$18,0))</f>
        <v>0.0501092</v>
      </c>
      <c r="U5" s="18" t="n">
        <f aca="false">INDEX('Green Street National'!$F$4:$F$18,MATCH($A5,'Green Street National'!$A$4:$A$18,0))</f>
        <v>99.9419598056238</v>
      </c>
      <c r="V5" s="18" t="n">
        <f aca="false">INDEX(Inflation!$D$4:$D$21,MATCH($A5,Inflation!$A$4:$A$21,0))</f>
        <v>102.196167016261</v>
      </c>
      <c r="W5" s="18" t="n">
        <f aca="false">INDEX(Inflation!$E$4:$E$21,MATCH($A5,Inflation!$A$4:$A$21,0))</f>
        <v>102.13162225787</v>
      </c>
      <c r="X5" s="18" t="n">
        <f aca="false">INDEX('Costar - US Multifamily'!$H$2:$H$34,MATCH($A5,'Costar - US Multifamily'!$A$2:$A$34,0))/INDEX('Costar - US Multifamily'!$H$2:$H$34,MATCH(2016,'Costar - US Multifamily'!$A$2:$A$34,0))*100</f>
        <v>102.701375774232</v>
      </c>
      <c r="Y5" s="13" t="n">
        <f aca="false">INDEX('Green Street National'!$C$4:$C$18,MATCH($A5,'Green Street National'!$A$4:$A$18,0))</f>
        <v>0.0191307</v>
      </c>
      <c r="Z5" s="13" t="n">
        <f aca="false">INDEX('Costar - US Multifamily'!$F$2:$F$34,MATCH($A5-1,'Costar - US Multifamily'!$A$2:$A$34,0))-INDEX('Costar - US Multifamily'!$F$2:$F$34,MATCH($A5,'Costar - US Multifamily'!$A$2:$A$34,0))</f>
        <v>-0.0020593283264595</v>
      </c>
      <c r="AA5" s="9" t="n">
        <f aca="false">INDEX('Costar - US Multifamily'!$H$2:$H$34,MATCH($A5,'Costar - US Multifamily'!$A$2:$A$34,0))</f>
        <v>1413.54736229744</v>
      </c>
      <c r="AB5" s="19" t="n">
        <f aca="false">1-INDEX('Costar - US Multifamily'!$F$2:$F$34,MATCH($A5,'Costar - US Multifamily'!$A$2:$A$34,0))</f>
        <v>0.931740924330767</v>
      </c>
      <c r="AC5" s="18" t="n">
        <f aca="false">AC4*(1+Y5)</f>
        <v>101.91307</v>
      </c>
    </row>
    <row r="6" customFormat="false" ht="15" hidden="false" customHeight="true" outlineLevel="0" collapsed="false">
      <c r="A6" s="2" t="n">
        <v>2018</v>
      </c>
      <c r="B6" s="13" t="n">
        <f aca="false">INDEX(AVB!$Z$8:$Z$17,MATCH($A6,AVB!$A$8:$A$17,0))</f>
        <v>0.0525525643905147</v>
      </c>
      <c r="C6" s="13" t="n">
        <f aca="false">INDEX(AVB!$Y$8:$Y$17,MATCH($A6,AVB!$A$8:$A$17,0))</f>
        <v>0.0269</v>
      </c>
      <c r="D6" s="13" t="n">
        <f aca="false">B6-C6</f>
        <v>0.0256525643905147</v>
      </c>
      <c r="E6" s="13" t="n">
        <f aca="false">INDEX(AVB!$AA$8:$AA$17,MATCH($A6,AVB!$A$8:$A$17,0))</f>
        <v>0.0592478762933167</v>
      </c>
      <c r="F6" s="13" t="n">
        <f aca="false">E6-B6</f>
        <v>0.00669531190280204</v>
      </c>
      <c r="G6" s="13" t="n">
        <f aca="false">INDEX('Costar - US Multifamily'!$F$2:$F$34,MATCH($A6,'Costar - US Multifamily'!$A$2:$A$34,0))</f>
        <v>0.0657917059913334</v>
      </c>
      <c r="H6" s="13" t="n">
        <f aca="false">INDEX('Costar - US Multifamily'!$I$2:$I$34,MATCH($A6,'Costar - US Multifamily'!$A$2:$A$34,0))</f>
        <v>0.0295746844416102</v>
      </c>
      <c r="I6" s="13" t="n">
        <f aca="false">INDEX('Costar - US Multifamily'!$C$2:$C$34,MATCH($A6,'Costar - US Multifamily'!$A$2:$A$34,0))/INDEX('Costar - US Multifamily'!$B$2:$B$34,MATCH($A6,'Costar - US Multifamily'!$A$2:$A$34,0))</f>
        <v>0.0215124978650679</v>
      </c>
      <c r="J6" s="18" t="n">
        <f aca="false">INDEX(AVB!$AB$8:$AB$17,MATCH($A6,AVB!$A$8:$A$17,0))</f>
        <v>19.0285671422058</v>
      </c>
      <c r="K6" s="18" t="n">
        <f aca="false">INDEX(AVB!$AC$8:$AC$17,MATCH($A6,AVB!$A$8:$A$17,0))</f>
        <v>16.8782421001781</v>
      </c>
      <c r="L6" s="9" t="n">
        <f aca="false">INDEX(AVB!$B$8:$B$17,MATCH($A6,AVB!$A$8:$A$17,0))</f>
        <v>1539.586</v>
      </c>
      <c r="M6" s="9" t="n">
        <f aca="false">INDEX(AVB!$Q$8:$Q$17,MATCH($A6,AVB!$A$8:$A$17,0))</f>
        <v>29296.1155722</v>
      </c>
      <c r="N6" s="9" t="n">
        <f aca="false">INDEX(AVB!$D$8:$D$17,MATCH($A6,AVB!$A$8:$A$17,0))</f>
        <v>1318.612</v>
      </c>
      <c r="O6" s="9" t="n">
        <f aca="false">INDEX(AVB!$K$8:$K$17,MATCH($A6,AVB!$A$8:$A$17,0))</f>
        <v>22255.8525722</v>
      </c>
      <c r="P6" s="13" t="n">
        <f aca="false">INDEX('Prime Rate'!$B$2:$B$13,MATCH($A6,'Prime Rate'!$A$2:$A$13,0))/100</f>
        <v>0.049</v>
      </c>
      <c r="Q6" s="9" t="n">
        <f aca="false">M6-L6</f>
        <v>27756.5295722</v>
      </c>
      <c r="R6" s="9" t="n">
        <f aca="false">O6-N6</f>
        <v>20937.2405722</v>
      </c>
      <c r="S6" s="13" t="n">
        <f aca="false">INDEX(Inflation!$G$4:$G$21,MATCH($A6,Inflation!$A$4:$A$21,0))</f>
        <v>0.0243920349541655</v>
      </c>
      <c r="T6" s="13" t="n">
        <f aca="false">INDEX('Green Street National'!$D$4:$D$18,MATCH($A6,'Green Street National'!$A$4:$A$18,0))</f>
        <v>0.04923149</v>
      </c>
      <c r="U6" s="18" t="n">
        <f aca="false">INDEX('Green Street National'!$F$4:$F$18,MATCH($A6,'Green Street National'!$A$4:$A$18,0))</f>
        <v>105.350134707176</v>
      </c>
      <c r="V6" s="18" t="n">
        <f aca="false">INDEX(Inflation!$D$4:$D$21,MATCH($A6,Inflation!$A$4:$A$21,0))</f>
        <v>106.491690421126</v>
      </c>
      <c r="W6" s="18" t="n">
        <f aca="false">INDEX(Inflation!$E$4:$E$21,MATCH($A6,Inflation!$A$4:$A$21,0))</f>
        <v>104.622820357909</v>
      </c>
      <c r="X6" s="18" t="n">
        <f aca="false">INDEX('Costar - US Multifamily'!$H$2:$H$34,MATCH($A6,'Costar - US Multifamily'!$A$2:$A$34,0))/INDEX('Costar - US Multifamily'!$H$2:$H$34,MATCH(2016,'Costar - US Multifamily'!$A$2:$A$34,0))*100</f>
        <v>105.738736554474</v>
      </c>
      <c r="Y6" s="13" t="n">
        <f aca="false">INDEX('Green Street National'!$C$4:$C$18,MATCH($A6,'Green Street National'!$A$4:$A$18,0))</f>
        <v>0.03557689</v>
      </c>
      <c r="Z6" s="13" t="n">
        <f aca="false">INDEX('Costar - US Multifamily'!$F$2:$F$34,MATCH($A6-1,'Costar - US Multifamily'!$A$2:$A$34,0))-INDEX('Costar - US Multifamily'!$F$2:$F$34,MATCH($A6,'Costar - US Multifamily'!$A$2:$A$34,0))</f>
        <v>0.0024673696778995</v>
      </c>
      <c r="AA6" s="9" t="n">
        <f aca="false">INDEX('Costar - US Multifamily'!$H$2:$H$34,MATCH($A6,'Costar - US Multifamily'!$A$2:$A$34,0))</f>
        <v>1455.35257948066</v>
      </c>
      <c r="AB6" s="19" t="n">
        <f aca="false">1-INDEX('Costar - US Multifamily'!$F$2:$F$34,MATCH($A6,'Costar - US Multifamily'!$A$2:$A$34,0))</f>
        <v>0.934208294008667</v>
      </c>
      <c r="AC6" s="18" t="n">
        <f aca="false">AC5*(1+Y6)</f>
        <v>105.538820080952</v>
      </c>
    </row>
    <row r="7" customFormat="false" ht="15" hidden="false" customHeight="true" outlineLevel="0" collapsed="false">
      <c r="A7" s="2" t="n">
        <v>2019</v>
      </c>
      <c r="B7" s="13" t="n">
        <f aca="false">INDEX(AVB!$Z$8:$Z$17,MATCH($A7,AVB!$A$8:$A$17,0))</f>
        <v>0.0458534983322351</v>
      </c>
      <c r="C7" s="13" t="n">
        <f aca="false">INDEX(AVB!$Y$8:$Y$17,MATCH($A7,AVB!$A$8:$A$17,0))</f>
        <v>0.0192</v>
      </c>
      <c r="D7" s="13" t="n">
        <f aca="false">B7-C7</f>
        <v>0.0266534983322351</v>
      </c>
      <c r="E7" s="13" t="n">
        <f aca="false">INDEX(AVB!$AA$8:$AA$17,MATCH($A7,AVB!$A$8:$A$17,0))</f>
        <v>0.0504995225629717</v>
      </c>
      <c r="F7" s="13" t="n">
        <f aca="false">E7-B7</f>
        <v>0.00464602423073666</v>
      </c>
      <c r="G7" s="13" t="n">
        <f aca="false">INDEX('Costar - US Multifamily'!$F$2:$F$34,MATCH($A7,'Costar - US Multifamily'!$A$2:$A$34,0))</f>
        <v>0.0660913728926952</v>
      </c>
      <c r="H7" s="13" t="n">
        <f aca="false">INDEX('Costar - US Multifamily'!$I$2:$I$34,MATCH($A7,'Costar - US Multifamily'!$A$2:$A$34,0))</f>
        <v>0.0255336196070635</v>
      </c>
      <c r="I7" s="13" t="n">
        <f aca="false">INDEX('Costar - US Multifamily'!$C$2:$C$34,MATCH($A7,'Costar - US Multifamily'!$A$2:$A$34,0))/INDEX('Costar - US Multifamily'!$B$2:$B$34,MATCH($A7,'Costar - US Multifamily'!$A$2:$A$34,0))</f>
        <v>0.0212600170808678</v>
      </c>
      <c r="J7" s="18" t="n">
        <f aca="false">INDEX(AVB!$AB$8:$AB$17,MATCH($A7,AVB!$A$8:$A$17,0))</f>
        <v>21.8085868335372</v>
      </c>
      <c r="K7" s="18" t="n">
        <f aca="false">INDEX(AVB!$AC$8:$AC$17,MATCH($A7,AVB!$A$8:$A$17,0))</f>
        <v>19.8021674116428</v>
      </c>
      <c r="L7" s="9" t="n">
        <f aca="false">INDEX(AVB!$B$8:$B$17,MATCH($A7,AVB!$A$8:$A$17,0))</f>
        <v>1627.21</v>
      </c>
      <c r="M7" s="9" t="n">
        <f aca="false">INDEX(AVB!$Q$8:$Q$17,MATCH($A7,AVB!$A$8:$A$17,0))</f>
        <v>35487.1505814</v>
      </c>
      <c r="N7" s="9" t="n">
        <f aca="false">INDEX(AVB!$D$8:$D$17,MATCH($A7,AVB!$A$8:$A$17,0))</f>
        <v>1423.625</v>
      </c>
      <c r="O7" s="9" t="n">
        <f aca="false">INDEX(AVB!$K$8:$K$17,MATCH($A7,AVB!$A$8:$A$17,0))</f>
        <v>28190.8605814</v>
      </c>
      <c r="P7" s="13" t="n">
        <f aca="false">INDEX('Prime Rate'!$B$2:$B$13,MATCH($A7,'Prime Rate'!$A$2:$A$13,0))/100</f>
        <v>0.0528</v>
      </c>
      <c r="Q7" s="9" t="n">
        <f aca="false">M7-L7</f>
        <v>33859.9405814</v>
      </c>
      <c r="R7" s="9" t="n">
        <f aca="false">O7-N7</f>
        <v>26767.2355814</v>
      </c>
      <c r="S7" s="13" t="n">
        <f aca="false">INDEX(Inflation!$G$4:$G$21,MATCH($A7,Inflation!$A$4:$A$21,0))</f>
        <v>0.0181322182397452</v>
      </c>
      <c r="T7" s="13" t="n">
        <f aca="false">INDEX('Green Street National'!$D$4:$D$18,MATCH($A7,'Green Street National'!$A$4:$A$18,0))</f>
        <v>0.0475775</v>
      </c>
      <c r="U7" s="18" t="n">
        <f aca="false">INDEX('Green Street National'!$F$4:$F$18,MATCH($A7,'Green Street National'!$A$4:$A$18,0))</f>
        <v>111.012161577111</v>
      </c>
      <c r="V7" s="18" t="n">
        <f aca="false">INDEX(Inflation!$D$4:$D$21,MATCH($A7,Inflation!$A$4:$A$21,0))</f>
        <v>111.952526936661</v>
      </c>
      <c r="W7" s="18" t="n">
        <f aca="false">INDEX(Inflation!$E$4:$E$21,MATCH($A7,Inflation!$A$4:$A$21,0))</f>
        <v>106.519864169496</v>
      </c>
      <c r="X7" s="18" t="n">
        <f aca="false">INDEX('Costar - US Multifamily'!$H$2:$H$34,MATCH($A7,'Costar - US Multifamily'!$A$2:$A$34,0))/INDEX('Costar - US Multifamily'!$H$2:$H$34,MATCH(2016,'Costar - US Multifamily'!$A$2:$A$34,0))*100</f>
        <v>108.438629231387</v>
      </c>
      <c r="Y7" s="13" t="n">
        <f aca="false">INDEX('Green Street National'!$C$4:$C$18,MATCH($A7,'Green Street National'!$A$4:$A$18,0))</f>
        <v>0.02837623</v>
      </c>
      <c r="Z7" s="13" t="n">
        <f aca="false">INDEX('Costar - US Multifamily'!$F$2:$F$34,MATCH($A7-1,'Costar - US Multifamily'!$A$2:$A$34,0))-INDEX('Costar - US Multifamily'!$F$2:$F$34,MATCH($A7,'Costar - US Multifamily'!$A$2:$A$34,0))</f>
        <v>-0.000299666901361809</v>
      </c>
      <c r="AA7" s="9" t="n">
        <f aca="false">INDEX('Costar - US Multifamily'!$H$2:$H$34,MATCH($A7,'Costar - US Multifamily'!$A$2:$A$34,0))</f>
        <v>1492.51299863927</v>
      </c>
      <c r="AB7" s="19" t="n">
        <f aca="false">1-INDEX('Costar - US Multifamily'!$F$2:$F$34,MATCH($A7,'Costar - US Multifamily'!$A$2:$A$34,0))</f>
        <v>0.933908627107305</v>
      </c>
      <c r="AC7" s="18" t="n">
        <f aca="false">AC6*(1+Y7)</f>
        <v>108.533613913498</v>
      </c>
    </row>
    <row r="8" customFormat="false" ht="15" hidden="false" customHeight="true" outlineLevel="0" collapsed="false">
      <c r="A8" s="2" t="n">
        <v>2020</v>
      </c>
      <c r="B8" s="13" t="n">
        <f aca="false">INDEX(AVB!$Z$8:$Z$17,MATCH($A8,AVB!$A$8:$A$17,0))</f>
        <v>0.0536289608635082</v>
      </c>
      <c r="C8" s="13" t="n">
        <f aca="false">INDEX(AVB!$Y$8:$Y$17,MATCH($A8,AVB!$A$8:$A$17,0))</f>
        <v>0.0093</v>
      </c>
      <c r="D8" s="13" t="n">
        <f aca="false">B8-C8</f>
        <v>0.0443289608635082</v>
      </c>
      <c r="E8" s="13" t="n">
        <f aca="false">INDEX(AVB!$AA$8:$AA$17,MATCH($A8,AVB!$A$8:$A$17,0))</f>
        <v>0.0626264470677589</v>
      </c>
      <c r="F8" s="13" t="n">
        <f aca="false">E8-B8</f>
        <v>0.00899748620425073</v>
      </c>
      <c r="G8" s="13" t="n">
        <f aca="false">INDEX('Costar - US Multifamily'!$F$2:$F$34,MATCH($A8,'Costar - US Multifamily'!$A$2:$A$34,0))</f>
        <v>0.0677560986856392</v>
      </c>
      <c r="H8" s="13" t="n">
        <f aca="false">INDEX('Costar - US Multifamily'!$I$2:$I$34,MATCH($A8,'Costar - US Multifamily'!$A$2:$A$34,0))</f>
        <v>0.0150876939891963</v>
      </c>
      <c r="I8" s="13" t="n">
        <f aca="false">INDEX('Costar - US Multifamily'!$C$2:$C$34,MATCH($A8,'Costar - US Multifamily'!$A$2:$A$34,0))/INDEX('Costar - US Multifamily'!$B$2:$B$34,MATCH($A8,'Costar - US Multifamily'!$A$2:$A$34,0))</f>
        <v>0.0253586058325992</v>
      </c>
      <c r="J8" s="18" t="n">
        <f aca="false">INDEX(AVB!$AB$8:$AB$17,MATCH($A8,AVB!$A$8:$A$17,0))</f>
        <v>18.6466413650101</v>
      </c>
      <c r="K8" s="18" t="n">
        <f aca="false">INDEX(AVB!$AC$8:$AC$17,MATCH($A8,AVB!$A$8:$A$17,0))</f>
        <v>15.9676949087986</v>
      </c>
      <c r="L8" s="9" t="n">
        <f aca="false">INDEX(AVB!$B$8:$B$17,MATCH($A8,AVB!$A$8:$A$17,0))</f>
        <v>1547.19</v>
      </c>
      <c r="M8" s="9" t="n">
        <f aca="false">INDEX(AVB!$Q$8:$Q$17,MATCH($A8,AVB!$A$8:$A$17,0))</f>
        <v>28849.89705353</v>
      </c>
      <c r="N8" s="9" t="n">
        <f aca="false">INDEX(AVB!$D$8:$D$17,MATCH($A8,AVB!$A$8:$A$17,0))</f>
        <v>1333.039</v>
      </c>
      <c r="O8" s="9" t="n">
        <f aca="false">INDEX(AVB!$K$8:$K$17,MATCH($A8,AVB!$A$8:$A$17,0))</f>
        <v>21285.56005353</v>
      </c>
      <c r="P8" s="13" t="n">
        <f aca="false">INDEX('Prime Rate'!$B$2:$B$13,MATCH($A8,'Prime Rate'!$A$2:$A$13,0))/100</f>
        <v>0.0354</v>
      </c>
      <c r="Q8" s="9" t="n">
        <f aca="false">M8-L8</f>
        <v>27302.70705353</v>
      </c>
      <c r="R8" s="9" t="n">
        <f aca="false">O8-N8</f>
        <v>19952.52105353</v>
      </c>
      <c r="S8" s="13" t="n">
        <f aca="false">INDEX(Inflation!$G$4:$G$21,MATCH($A8,Inflation!$A$4:$A$21,0))</f>
        <v>0.0125287010127009</v>
      </c>
      <c r="T8" s="13" t="n">
        <f aca="false">INDEX('Green Street National'!$D$4:$D$18,MATCH($A8,'Green Street National'!$A$4:$A$18,0))</f>
        <v>0.04376953</v>
      </c>
      <c r="U8" s="18" t="n">
        <f aca="false">INDEX('Green Street National'!$F$4:$F$18,MATCH($A8,'Green Street National'!$A$4:$A$18,0))</f>
        <v>112.840426236934</v>
      </c>
      <c r="V8" s="18" t="n">
        <f aca="false">INDEX(Inflation!$D$4:$D$21,MATCH($A8,Inflation!$A$4:$A$21,0))</f>
        <v>114.716111798347</v>
      </c>
      <c r="W8" s="18" t="n">
        <f aca="false">INDEX(Inflation!$E$4:$E$21,MATCH($A8,Inflation!$A$4:$A$21,0))</f>
        <v>107.85441969959</v>
      </c>
      <c r="X8" s="18" t="n">
        <f aca="false">INDEX('Costar - US Multifamily'!$H$2:$H$34,MATCH($A8,'Costar - US Multifamily'!$A$2:$A$34,0))/INDEX('Costar - US Multifamily'!$H$2:$H$34,MATCH(2016,'Costar - US Multifamily'!$A$2:$A$34,0))*100</f>
        <v>110.074718085838</v>
      </c>
      <c r="Y8" s="13" t="n">
        <f aca="false">INDEX('Green Street National'!$C$4:$C$18,MATCH($A8,'Green Street National'!$A$4:$A$18,0))</f>
        <v>-0.01726645</v>
      </c>
      <c r="Z8" s="13" t="n">
        <f aca="false">INDEX('Costar - US Multifamily'!$F$2:$F$34,MATCH($A8-1,'Costar - US Multifamily'!$A$2:$A$34,0))-INDEX('Costar - US Multifamily'!$F$2:$F$34,MATCH($A8,'Costar - US Multifamily'!$A$2:$A$34,0))</f>
        <v>-0.00166472579294399</v>
      </c>
      <c r="AA8" s="9" t="n">
        <f aca="false">INDEX('Costar - US Multifamily'!$H$2:$H$34,MATCH($A8,'Costar - US Multifamily'!$A$2:$A$34,0))</f>
        <v>1515.03157803764</v>
      </c>
      <c r="AB8" s="19" t="n">
        <f aca="false">1-INDEX('Costar - US Multifamily'!$F$2:$F$34,MATCH($A8,'Costar - US Multifamily'!$A$2:$A$34,0))</f>
        <v>0.932243901314361</v>
      </c>
      <c r="AC8" s="18" t="n">
        <f aca="false">AC7*(1+Y8)</f>
        <v>106.659623695541</v>
      </c>
    </row>
    <row r="9" customFormat="false" ht="15" hidden="false" customHeight="true" outlineLevel="0" collapsed="false">
      <c r="A9" s="2" t="n">
        <v>2021</v>
      </c>
      <c r="B9" s="13" t="n">
        <f aca="false">INDEX(AVB!$Z$8:$Z$17,MATCH($A9,AVB!$A$8:$A$17,0))</f>
        <v>0.0356808440799286</v>
      </c>
      <c r="C9" s="13" t="n">
        <f aca="false">INDEX(AVB!$Y$8:$Y$17,MATCH($A9,AVB!$A$8:$A$17,0))</f>
        <v>0.0152</v>
      </c>
      <c r="D9" s="13" t="n">
        <f aca="false">B9-C9</f>
        <v>0.0204808440799286</v>
      </c>
      <c r="E9" s="13" t="n">
        <f aca="false">INDEX(AVB!$AA$8:$AA$17,MATCH($A9,AVB!$A$8:$A$17,0))</f>
        <v>0.0376817764466823</v>
      </c>
      <c r="F9" s="13" t="n">
        <f aca="false">E9-B9</f>
        <v>0.00200093236675365</v>
      </c>
      <c r="G9" s="13" t="n">
        <f aca="false">INDEX('Costar - US Multifamily'!$F$2:$F$34,MATCH($A9,'Costar - US Multifamily'!$A$2:$A$34,0))</f>
        <v>0.0511618903179478</v>
      </c>
      <c r="H9" s="13" t="n">
        <f aca="false">INDEX('Costar - US Multifamily'!$I$2:$I$34,MATCH($A9,'Costar - US Multifamily'!$A$2:$A$34,0))</f>
        <v>0.0881649323336352</v>
      </c>
      <c r="I9" s="13" t="n">
        <f aca="false">INDEX('Costar - US Multifamily'!$C$2:$C$34,MATCH($A9,'Costar - US Multifamily'!$A$2:$A$34,0))/INDEX('Costar - US Multifamily'!$B$2:$B$34,MATCH($A9,'Costar - US Multifamily'!$A$2:$A$34,0))</f>
        <v>0.022677567628092</v>
      </c>
      <c r="J9" s="18" t="n">
        <f aca="false">INDEX(AVB!$AB$8:$AB$17,MATCH($A9,AVB!$A$8:$A$17,0))</f>
        <v>28.0262428142087</v>
      </c>
      <c r="K9" s="18" t="n">
        <f aca="false">INDEX(AVB!$AC$8:$AC$17,MATCH($A9,AVB!$A$8:$A$17,0))</f>
        <v>26.538026980096</v>
      </c>
      <c r="L9" s="9" t="n">
        <f aca="false">INDEX(AVB!$B$8:$B$17,MATCH($A9,AVB!$A$8:$A$17,0))</f>
        <v>1514.678</v>
      </c>
      <c r="M9" s="9" t="n">
        <f aca="false">INDEX(AVB!$Q$8:$Q$17,MATCH($A9,AVB!$A$8:$A$17,0))</f>
        <v>42450.73341334</v>
      </c>
      <c r="N9" s="9" t="n">
        <f aca="false">INDEX(AVB!$D$8:$D$17,MATCH($A9,AVB!$A$8:$A$17,0))</f>
        <v>1294.263</v>
      </c>
      <c r="O9" s="9" t="n">
        <f aca="false">INDEX(AVB!$K$8:$K$17,MATCH($A9,AVB!$A$8:$A$17,0))</f>
        <v>34347.18641334</v>
      </c>
      <c r="P9" s="13" t="n">
        <f aca="false">INDEX('Prime Rate'!$B$2:$B$13,MATCH($A9,'Prime Rate'!$A$2:$A$13,0))/100</f>
        <v>0.0325</v>
      </c>
      <c r="Q9" s="9" t="n">
        <f aca="false">M9-L9</f>
        <v>40936.05541334</v>
      </c>
      <c r="R9" s="9" t="n">
        <f aca="false">O9-N9</f>
        <v>33052.92341334</v>
      </c>
      <c r="S9" s="13" t="n">
        <f aca="false">INDEX(Inflation!$G$4:$G$21,MATCH($A9,Inflation!$A$4:$A$21,0))</f>
        <v>0.0468098093148315</v>
      </c>
      <c r="T9" s="13" t="n">
        <f aca="false">INDEX('Green Street National'!$D$4:$D$18,MATCH($A9,'Green Street National'!$A$4:$A$18,0))</f>
        <v>0.03788439</v>
      </c>
      <c r="U9" s="18" t="n">
        <f aca="false">INDEX('Green Street National'!$F$4:$F$18,MATCH($A9,'Green Street National'!$A$4:$A$18,0))</f>
        <v>148.305287254741</v>
      </c>
      <c r="V9" s="18" t="n">
        <f aca="false">INDEX(Inflation!$D$4:$D$21,MATCH($A9,Inflation!$A$4:$A$21,0))</f>
        <v>120.671758188566</v>
      </c>
      <c r="W9" s="18" t="n">
        <f aca="false">INDEX(Inflation!$E$4:$E$21,MATCH($A9,Inflation!$A$4:$A$21,0))</f>
        <v>112.903064519489</v>
      </c>
      <c r="X9" s="18" t="n">
        <f aca="false">INDEX('Costar - US Multifamily'!$H$2:$H$34,MATCH($A9,'Costar - US Multifamily'!$A$2:$A$34,0))/INDEX('Costar - US Multifamily'!$H$2:$H$34,MATCH(2016,'Costar - US Multifamily'!$A$2:$A$34,0))*100</f>
        <v>119.77944815752</v>
      </c>
      <c r="Y9" s="13" t="n">
        <f aca="false">INDEX('Green Street National'!$C$4:$C$18,MATCH($A9,'Green Street National'!$A$4:$A$18,0))</f>
        <v>0.15341472</v>
      </c>
      <c r="Z9" s="13" t="n">
        <f aca="false">INDEX('Costar - US Multifamily'!$F$2:$F$34,MATCH($A9-1,'Costar - US Multifamily'!$A$2:$A$34,0))-INDEX('Costar - US Multifamily'!$F$2:$F$34,MATCH($A9,'Costar - US Multifamily'!$A$2:$A$34,0))</f>
        <v>0.0165942083676914</v>
      </c>
      <c r="AA9" s="9" t="n">
        <f aca="false">INDEX('Costar - US Multifamily'!$H$2:$H$34,MATCH($A9,'Costar - US Multifamily'!$A$2:$A$34,0))</f>
        <v>1648.60423459865</v>
      </c>
      <c r="AB9" s="19" t="n">
        <f aca="false">1-INDEX('Costar - US Multifamily'!$F$2:$F$34,MATCH($A9,'Costar - US Multifamily'!$A$2:$A$34,0))</f>
        <v>0.948838109682052</v>
      </c>
      <c r="AC9" s="18" t="n">
        <f aca="false">AC8*(1+Y9)</f>
        <v>123.022780000098</v>
      </c>
    </row>
    <row r="10" customFormat="false" ht="15" hidden="false" customHeight="true" outlineLevel="0" collapsed="false">
      <c r="A10" s="2" t="n">
        <v>2022</v>
      </c>
      <c r="B10" s="13" t="n">
        <f aca="false">INDEX(AVB!$Z$8:$Z$17,MATCH($A10,AVB!$A$8:$A$17,0))</f>
        <v>0.0595244586935358</v>
      </c>
      <c r="C10" s="13" t="n">
        <f aca="false">INDEX(AVB!$Y$8:$Y$17,MATCH($A10,AVB!$A$8:$A$17,0))</f>
        <v>0.0388</v>
      </c>
      <c r="D10" s="13" t="n">
        <f aca="false">B10-C10</f>
        <v>0.0207244586935358</v>
      </c>
      <c r="E10" s="13" t="n">
        <f aca="false">INDEX(AVB!$AA$8:$AA$17,MATCH($A10,AVB!$A$8:$A$17,0))</f>
        <v>0.0719342253761196</v>
      </c>
      <c r="F10" s="13" t="n">
        <f aca="false">E10-B10</f>
        <v>0.0124097666825837</v>
      </c>
      <c r="G10" s="13" t="n">
        <f aca="false">INDEX('Costar - US Multifamily'!$F$2:$F$34,MATCH($A10,'Costar - US Multifamily'!$A$2:$A$34,0))</f>
        <v>0.0659326534476428</v>
      </c>
      <c r="H10" s="13" t="n">
        <f aca="false">INDEX('Costar - US Multifamily'!$I$2:$I$34,MATCH($A10,'Costar - US Multifamily'!$A$2:$A$34,0))</f>
        <v>0.0401127220010312</v>
      </c>
      <c r="I10" s="13" t="n">
        <f aca="false">INDEX('Costar - US Multifamily'!$C$2:$C$34,MATCH($A10,'Costar - US Multifamily'!$A$2:$A$34,0))/INDEX('Costar - US Multifamily'!$B$2:$B$34,MATCH($A10,'Costar - US Multifamily'!$A$2:$A$34,0))</f>
        <v>0.0235067606934977</v>
      </c>
      <c r="J10" s="18" t="n">
        <f aca="false">INDEX(AVB!$AB$8:$AB$17,MATCH($A10,AVB!$A$8:$A$17,0))</f>
        <v>16.7998167803347</v>
      </c>
      <c r="K10" s="18" t="n">
        <f aca="false">INDEX(AVB!$AC$8:$AC$17,MATCH($A10,AVB!$A$8:$A$17,0))</f>
        <v>13.9015884965931</v>
      </c>
      <c r="L10" s="9" t="n">
        <f aca="false">INDEX(AVB!$B$8:$B$17,MATCH($A10,AVB!$A$8:$A$17,0))</f>
        <v>1765.786</v>
      </c>
      <c r="M10" s="9" t="n">
        <f aca="false">INDEX(AVB!$Q$8:$Q$17,MATCH($A10,AVB!$A$8:$A$17,0))</f>
        <v>29664.88127328</v>
      </c>
      <c r="N10" s="9" t="n">
        <f aca="false">INDEX(AVB!$D$8:$D$17,MATCH($A10,AVB!$A$8:$A$17,0))</f>
        <v>1535.712</v>
      </c>
      <c r="O10" s="9" t="n">
        <f aca="false">INDEX(AVB!$K$8:$K$17,MATCH($A10,AVB!$A$8:$A$17,0))</f>
        <v>21348.83627328</v>
      </c>
      <c r="P10" s="13" t="n">
        <f aca="false">INDEX('Prime Rate'!$B$2:$B$13,MATCH($A10,'Prime Rate'!$A$2:$A$13,0))/100</f>
        <v>0.0485</v>
      </c>
      <c r="Q10" s="9" t="n">
        <f aca="false">M10-L10</f>
        <v>27899.09527328</v>
      </c>
      <c r="R10" s="9" t="n">
        <f aca="false">O10-N10</f>
        <v>19813.12427328</v>
      </c>
      <c r="S10" s="13" t="n">
        <f aca="false">INDEX(Inflation!$G$4:$G$21,MATCH($A10,Inflation!$A$4:$A$21,0))</f>
        <v>0.0799083303502561</v>
      </c>
      <c r="T10" s="13" t="n">
        <f aca="false">INDEX('Green Street National'!$D$4:$D$18,MATCH($A10,'Green Street National'!$A$4:$A$18,0))</f>
        <v>0.05048362</v>
      </c>
      <c r="U10" s="18" t="n">
        <f aca="false">INDEX('Green Street National'!$F$4:$F$18,MATCH($A10,'Green Street National'!$A$4:$A$18,0))</f>
        <v>112.259083245291</v>
      </c>
      <c r="V10" s="18" t="n">
        <f aca="false">INDEX(Inflation!$D$4:$D$21,MATCH($A10,Inflation!$A$4:$A$21,0))</f>
        <v>144.713064056365</v>
      </c>
      <c r="W10" s="18" t="n">
        <f aca="false">INDEX(Inflation!$E$4:$E$21,MATCH($A10,Inflation!$A$4:$A$21,0))</f>
        <v>121.924959896669</v>
      </c>
      <c r="X10" s="18" t="n">
        <f aca="false">INDEX('Costar - US Multifamily'!$H$2:$H$34,MATCH($A10,'Costar - US Multifamily'!$A$2:$A$34,0))/INDEX('Costar - US Multifamily'!$H$2:$H$34,MATCH(2016,'Costar - US Multifamily'!$A$2:$A$34,0))*100</f>
        <v>124.5841278629</v>
      </c>
      <c r="Y10" s="13" t="n">
        <f aca="false">INDEX('Green Street National'!$C$4:$C$18,MATCH($A10,'Green Street National'!$A$4:$A$18,0))</f>
        <v>0.04550639</v>
      </c>
      <c r="Z10" s="13" t="n">
        <f aca="false">INDEX('Costar - US Multifamily'!$F$2:$F$34,MATCH($A10-1,'Costar - US Multifamily'!$A$2:$A$34,0))-INDEX('Costar - US Multifamily'!$F$2:$F$34,MATCH($A10,'Costar - US Multifamily'!$A$2:$A$34,0))</f>
        <v>-0.014770763129695</v>
      </c>
      <c r="AA10" s="9" t="n">
        <f aca="false">INDEX('Costar - US Multifamily'!$H$2:$H$34,MATCH($A10,'Costar - US Multifamily'!$A$2:$A$34,0))</f>
        <v>1714.73423795083</v>
      </c>
      <c r="AB10" s="19" t="n">
        <f aca="false">1-INDEX('Costar - US Multifamily'!$F$2:$F$34,MATCH($A10,'Costar - US Multifamily'!$A$2:$A$34,0))</f>
        <v>0.934067346552357</v>
      </c>
      <c r="AC10" s="18" t="n">
        <f aca="false">AC9*(1+Y10)</f>
        <v>128.621102605667</v>
      </c>
    </row>
    <row r="11" customFormat="false" ht="15" hidden="false" customHeight="true" outlineLevel="0" collapsed="false">
      <c r="A11" s="2" t="n">
        <v>2023</v>
      </c>
      <c r="B11" s="13" t="n">
        <f aca="false">INDEX(AVB!$Z$8:$Z$17,MATCH($A11,AVB!$A$8:$A$17,0))</f>
        <v>0.05699481934223</v>
      </c>
      <c r="C11" s="13" t="n">
        <f aca="false">INDEX(AVB!$Y$8:$Y$17,MATCH($A11,AVB!$A$8:$A$17,0))</f>
        <v>0.0388</v>
      </c>
      <c r="D11" s="13" t="n">
        <f aca="false">B11-C11</f>
        <v>0.0181948193422299</v>
      </c>
      <c r="E11" s="13" t="n">
        <f aca="false">INDEX(AVB!$AA$8:$AA$17,MATCH($A11,AVB!$A$8:$A$17,0))</f>
        <v>0.0669036728101166</v>
      </c>
      <c r="F11" s="13" t="n">
        <f aca="false">E11-B11</f>
        <v>0.00990885346788666</v>
      </c>
      <c r="G11" s="13" t="n">
        <f aca="false">INDEX('Costar - US Multifamily'!$F$2:$F$34,MATCH($A11,'Costar - US Multifamily'!$A$2:$A$34,0))</f>
        <v>0.0779636683425829</v>
      </c>
      <c r="H11" s="13" t="n">
        <f aca="false">INDEX('Costar - US Multifamily'!$I$2:$I$34,MATCH($A11,'Costar - US Multifamily'!$A$2:$A$34,0))</f>
        <v>0.0130911031748043</v>
      </c>
      <c r="I11" s="13" t="n">
        <f aca="false">INDEX('Costar - US Multifamily'!$C$2:$C$34,MATCH($A11,'Costar - US Multifamily'!$A$2:$A$34,0))/INDEX('Costar - US Multifamily'!$B$2:$B$34,MATCH($A11,'Costar - US Multifamily'!$A$2:$A$34,0))</f>
        <v>0.0306486490814444</v>
      </c>
      <c r="J11" s="18" t="n">
        <f aca="false">INDEX(AVB!$AB$8:$AB$17,MATCH($A11,AVB!$A$8:$A$17,0))</f>
        <v>17.5454543332337</v>
      </c>
      <c r="K11" s="18" t="n">
        <f aca="false">INDEX(AVB!$AC$8:$AC$17,MATCH($A11,AVB!$A$8:$A$17,0))</f>
        <v>14.9468625263393</v>
      </c>
      <c r="L11" s="9" t="n">
        <f aca="false">INDEX(AVB!$B$8:$B$17,MATCH($A11,AVB!$A$8:$A$17,0))</f>
        <v>1886.748</v>
      </c>
      <c r="M11" s="9" t="n">
        <f aca="false">INDEX(AVB!$Q$8:$Q$17,MATCH($A11,AVB!$A$8:$A$17,0))</f>
        <v>33103.85087232</v>
      </c>
      <c r="N11" s="9" t="n">
        <f aca="false">INDEX(AVB!$D$8:$D$17,MATCH($A11,AVB!$A$8:$A$17,0))</f>
        <v>1680.756</v>
      </c>
      <c r="O11" s="9" t="n">
        <f aca="false">INDEX(AVB!$K$8:$K$17,MATCH($A11,AVB!$A$8:$A$17,0))</f>
        <v>25122.02887232</v>
      </c>
      <c r="P11" s="13" t="n">
        <f aca="false">INDEX('Prime Rate'!$B$2:$B$13,MATCH($A11,'Prime Rate'!$A$2:$A$13,0))/100</f>
        <v>0.0819</v>
      </c>
      <c r="Q11" s="9" t="n">
        <f aca="false">M11-L11</f>
        <v>31217.10287232</v>
      </c>
      <c r="R11" s="9" t="n">
        <f aca="false">O11-N11</f>
        <v>23441.27287232</v>
      </c>
      <c r="S11" s="13" t="n">
        <f aca="false">INDEX(Inflation!$G$4:$G$21,MATCH($A11,Inflation!$A$4:$A$21,0))</f>
        <v>0.0412711105643382</v>
      </c>
      <c r="T11" s="13" t="n">
        <f aca="false">INDEX('Green Street National'!$D$4:$D$18,MATCH($A11,'Green Street National'!$A$4:$A$18,0))</f>
        <v>0.05662173</v>
      </c>
      <c r="U11" s="18" t="n">
        <f aca="false">INDEX('Green Street National'!$F$4:$F$18,MATCH($A11,'Green Street National'!$A$4:$A$18,0))</f>
        <v>100.508627067155</v>
      </c>
      <c r="V11" s="18" t="n">
        <f aca="false">INDEX(Inflation!$D$4:$D$21,MATCH($A11,Inflation!$A$4:$A$21,0))</f>
        <v>156.117893831012</v>
      </c>
      <c r="W11" s="18" t="n">
        <f aca="false">INDEX(Inflation!$E$4:$E$21,MATCH($A11,Inflation!$A$4:$A$21,0))</f>
        <v>126.956938397117</v>
      </c>
      <c r="X11" s="18" t="n">
        <f aca="false">INDEX('Costar - US Multifamily'!$H$2:$H$34,MATCH($A11,'Costar - US Multifamily'!$A$2:$A$34,0))/INDEX('Costar - US Multifamily'!$H$2:$H$34,MATCH(2016,'Costar - US Multifamily'!$A$2:$A$34,0))*100</f>
        <v>126.215071534696</v>
      </c>
      <c r="Y11" s="13" t="n">
        <f aca="false">INDEX('Green Street National'!$C$4:$C$18,MATCH($A11,'Green Street National'!$A$4:$A$18,0))</f>
        <v>-0.00280259</v>
      </c>
      <c r="Z11" s="13" t="n">
        <f aca="false">INDEX('Costar - US Multifamily'!$F$2:$F$34,MATCH($A11-1,'Costar - US Multifamily'!$A$2:$A$34,0))-INDEX('Costar - US Multifamily'!$F$2:$F$34,MATCH($A11,'Costar - US Multifamily'!$A$2:$A$34,0))</f>
        <v>-0.0120310148949401</v>
      </c>
      <c r="AA11" s="9" t="n">
        <f aca="false">INDEX('Costar - US Multifamily'!$H$2:$H$34,MATCH($A11,'Costar - US Multifamily'!$A$2:$A$34,0))</f>
        <v>1737.18200077721</v>
      </c>
      <c r="AB11" s="19" t="n">
        <f aca="false">1-INDEX('Costar - US Multifamily'!$F$2:$F$34,MATCH($A11,'Costar - US Multifamily'!$A$2:$A$34,0))</f>
        <v>0.922036331657417</v>
      </c>
      <c r="AC11" s="18" t="n">
        <f aca="false">AC10*(1+Y11)</f>
        <v>128.260630389715</v>
      </c>
    </row>
    <row r="12" customFormat="false" ht="15" hidden="false" customHeight="true" outlineLevel="0" collapsed="false">
      <c r="A12" s="2" t="n">
        <v>2024</v>
      </c>
      <c r="B12" s="13" t="n">
        <f aca="false">INDEX(AVB!$Z$8:$Z$17,MATCH($A12,AVB!$A$8:$A$17,0))</f>
        <v>0.0517215112937037</v>
      </c>
      <c r="C12" s="13" t="n">
        <f aca="false">INDEX(AVB!$Y$8:$Y$17,MATCH($A12,AVB!$A$8:$A$17,0))</f>
        <v>0.0458</v>
      </c>
      <c r="D12" s="13" t="n">
        <f aca="false">B12-C12</f>
        <v>0.00592151129370366</v>
      </c>
      <c r="E12" s="13" t="n">
        <f aca="false">INDEX(AVB!$AA$8:$AA$17,MATCH($A12,AVB!$A$8:$A$17,0))</f>
        <v>0.0580735857275893</v>
      </c>
      <c r="F12" s="13" t="n">
        <f aca="false">E12-B12</f>
        <v>0.0063520744338856</v>
      </c>
      <c r="G12" s="13" t="n">
        <f aca="false">INDEX('Costar - US Multifamily'!$F$2:$F$34,MATCH($A12,'Costar - US Multifamily'!$A$2:$A$34,0))</f>
        <v>0.083232084773644</v>
      </c>
      <c r="H12" s="13" t="n">
        <f aca="false">INDEX('Costar - US Multifamily'!$I$2:$I$34,MATCH($A12,'Costar - US Multifamily'!$A$2:$A$34,0))</f>
        <v>0.0121569826661413</v>
      </c>
      <c r="I12" s="13" t="n">
        <f aca="false">INDEX('Costar - US Multifamily'!$C$2:$C$34,MATCH($A12,'Costar - US Multifamily'!$A$2:$A$34,0))/INDEX('Costar - US Multifamily'!$B$2:$B$34,MATCH($A12,'Costar - US Multifamily'!$A$2:$A$34,0))</f>
        <v>0.0344953335384235</v>
      </c>
      <c r="J12" s="18" t="n">
        <f aca="false">INDEX(AVB!$AB$8:$AB$17,MATCH($A12,AVB!$A$8:$A$17,0))</f>
        <v>19.3343151618568</v>
      </c>
      <c r="K12" s="18" t="n">
        <f aca="false">INDEX(AVB!$AC$8:$AC$17,MATCH($A12,AVB!$A$8:$A$17,0))</f>
        <v>17.2195325546245</v>
      </c>
      <c r="L12" s="9" t="n">
        <f aca="false">INDEX(AVB!$B$8:$B$17,MATCH($A12,AVB!$A$8:$A$17,0))</f>
        <v>1974.431</v>
      </c>
      <c r="M12" s="9" t="n">
        <f aca="false">INDEX(AVB!$Q$8:$Q$17,MATCH($A12,AVB!$A$8:$A$17,0))</f>
        <v>38174.27121934</v>
      </c>
      <c r="N12" s="9" t="n">
        <f aca="false">INDEX(AVB!$D$8:$D$17,MATCH($A12,AVB!$A$8:$A$17,0))</f>
        <v>1747.842</v>
      </c>
      <c r="O12" s="9" t="n">
        <f aca="false">INDEX(AVB!$K$8:$K$17,MATCH($A12,AVB!$A$8:$A$17,0))</f>
        <v>30097.02221934</v>
      </c>
      <c r="P12" s="13" t="n">
        <f aca="false">INDEX('Prime Rate'!$B$2:$B$13,MATCH($A12,'Prime Rate'!$A$2:$A$13,0))/100</f>
        <v>0.0831</v>
      </c>
      <c r="Q12" s="9" t="n">
        <f aca="false">M12-L12</f>
        <v>36199.84021934</v>
      </c>
      <c r="R12" s="9" t="n">
        <f aca="false">O12-N12</f>
        <v>28349.18021934</v>
      </c>
      <c r="S12" s="13" t="n">
        <f aca="false">INDEX(Inflation!$G$4:$G$21,MATCH($A12,Inflation!$A$4:$A$21,0))</f>
        <v>0.0295205495187116</v>
      </c>
      <c r="T12" s="13" t="n">
        <f aca="false">INDEX('Green Street National'!$D$4:$D$18,MATCH($A12,'Green Street National'!$A$4:$A$18,0))</f>
        <v>0.05208783</v>
      </c>
      <c r="U12" s="18" t="n">
        <f aca="false">INDEX('Green Street National'!$F$4:$F$18,MATCH($A12,'Green Street National'!$A$4:$A$18,0))</f>
        <v>109.137003547425</v>
      </c>
      <c r="V12" s="18" t="n">
        <f aca="false">INDEX(Inflation!$D$4:$D$21,MATCH($A12,Inflation!$A$4:$A$21,0))</f>
        <v>156.281037666505</v>
      </c>
      <c r="W12" s="18" t="n">
        <f aca="false">INDEX(Inflation!$E$4:$E$21,MATCH($A12,Inflation!$A$4:$A$21,0))</f>
        <v>130.704776983813</v>
      </c>
      <c r="X12" s="18" t="n">
        <f aca="false">INDEX('Costar - US Multifamily'!$H$2:$H$34,MATCH($A12,'Costar - US Multifamily'!$A$2:$A$34,0))/INDEX('Costar - US Multifamily'!$H$2:$H$34,MATCH(2016,'Costar - US Multifamily'!$A$2:$A$34,0))*100</f>
        <v>127.749465971549</v>
      </c>
      <c r="Y12" s="13" t="n">
        <f aca="false">INDEX('Green Street National'!$C$4:$C$18,MATCH($A12,'Green Street National'!$A$4:$A$18,0))</f>
        <v>0.0053018</v>
      </c>
      <c r="Z12" s="13" t="n">
        <f aca="false">INDEX('Costar - US Multifamily'!$F$2:$F$34,MATCH($A12-1,'Costar - US Multifamily'!$A$2:$A$34,0))-INDEX('Costar - US Multifamily'!$F$2:$F$34,MATCH($A12,'Costar - US Multifamily'!$A$2:$A$34,0))</f>
        <v>-0.00526841643106109</v>
      </c>
      <c r="AA12" s="9" t="n">
        <f aca="false">INDEX('Costar - US Multifamily'!$H$2:$H$34,MATCH($A12,'Costar - US Multifamily'!$A$2:$A$34,0))</f>
        <v>1758.30089224859</v>
      </c>
      <c r="AB12" s="19" t="n">
        <f aca="false">1-INDEX('Costar - US Multifamily'!$F$2:$F$34,MATCH($A12,'Costar - US Multifamily'!$A$2:$A$34,0))</f>
        <v>0.916767915226356</v>
      </c>
      <c r="AC12" s="18" t="n">
        <f aca="false">AC11*(1+Y12)</f>
        <v>128.940642599915</v>
      </c>
    </row>
    <row r="13" customFormat="false" ht="15" hidden="false" customHeight="true" outlineLevel="0" collapsed="false">
      <c r="A13" s="2" t="n">
        <v>2025</v>
      </c>
      <c r="B13" s="13" t="n">
        <f aca="false">INDEX(AVB!$Z$8:$Z$17,MATCH($A13,AVB!$A$8:$A$17,0))</f>
        <v>0.0606232243679619</v>
      </c>
      <c r="C13" s="13" t="n">
        <f aca="false">INDEX(AVB!$Y$8:$Y$17,MATCH($A13,AVB!$A$8:$A$17,0))</f>
        <v>0.0418</v>
      </c>
      <c r="D13" s="13" t="n">
        <f aca="false">B13-C13</f>
        <v>0.0188232243679619</v>
      </c>
      <c r="E13" s="13" t="n">
        <f aca="false">INDEX(AVB!$AA$8:$AA$17,MATCH($A13,AVB!$A$8:$A$17,0))</f>
        <v>0.0733835612473636</v>
      </c>
      <c r="F13" s="13" t="n">
        <f aca="false">E13-B13</f>
        <v>0.0127603368794017</v>
      </c>
      <c r="G13" s="13" t="n">
        <f aca="false">INDEX('Costar - US Multifamily'!$F$2:$F$34,MATCH($A13,'Costar - US Multifamily'!$A$2:$A$34,0))</f>
        <v>0.0847075532784309</v>
      </c>
      <c r="H13" s="13" t="n">
        <f aca="false">INDEX('Costar - US Multifamily'!$I$2:$I$34,MATCH($A13,'Costar - US Multifamily'!$A$2:$A$34,0))</f>
        <v>0.0042997106099318</v>
      </c>
      <c r="I13" s="13" t="n">
        <f aca="false">INDEX('Costar - US Multifamily'!$C$2:$C$34,MATCH($A13,'Costar - US Multifamily'!$A$2:$A$34,0))/INDEX('Costar - US Multifamily'!$B$2:$B$34,MATCH($A13,'Costar - US Multifamily'!$A$2:$A$34,0))</f>
        <v>0.0256603251765355</v>
      </c>
      <c r="J13" s="18" t="n">
        <f aca="false">INDEX(AVB!$AB$8:$AB$17,MATCH($A13,AVB!$A$8:$A$17,0))</f>
        <v>16.495328488804</v>
      </c>
      <c r="K13" s="18" t="n">
        <f aca="false">INDEX(AVB!$AC$8:$AC$17,MATCH($A13,AVB!$A$8:$A$17,0))</f>
        <v>13.627030127758</v>
      </c>
      <c r="L13" s="9" t="n">
        <f aca="false">INDEX(AVB!$B$8:$B$17,MATCH($A13,AVB!$A$8:$A$17,0))</f>
        <v>2020.949</v>
      </c>
      <c r="M13" s="9" t="n">
        <f aca="false">INDEX(AVB!$Q$8:$Q$17,MATCH($A13,AVB!$A$8:$A$17,0))</f>
        <v>33336.21761412</v>
      </c>
      <c r="N13" s="9" t="n">
        <f aca="false">INDEX(AVB!$D$8:$D$17,MATCH($A13,AVB!$A$8:$A$17,0))</f>
        <v>1761.768</v>
      </c>
      <c r="O13" s="9" t="n">
        <f aca="false">INDEX(AVB!$K$8:$K$17,MATCH($A13,AVB!$A$8:$A$17,0))</f>
        <v>24007.66561412</v>
      </c>
      <c r="P13" s="13" t="n">
        <f aca="false">INDEX('Prime Rate'!$B$2:$B$13,MATCH($A13,'Prime Rate'!$A$2:$A$13,0))/100</f>
        <v>0.0737</v>
      </c>
      <c r="Q13" s="9" t="n">
        <f aca="false">M13-L13</f>
        <v>31315.26861412</v>
      </c>
      <c r="R13" s="9" t="n">
        <f aca="false">O13-N13</f>
        <v>22245.89761412</v>
      </c>
      <c r="S13" s="13" t="n">
        <f aca="false">INDEX(Inflation!$G$4:$G$21,MATCH($A13,Inflation!$A$4:$A$21,0))</f>
        <v>0.0263438083762091</v>
      </c>
      <c r="T13" s="13" t="n">
        <f aca="false">INDEX('Green Street National'!$D$4:$D$18,MATCH($A13,'Green Street National'!$A$4:$A$18,0))</f>
        <v>0.05229724</v>
      </c>
      <c r="U13" s="18" t="n">
        <f aca="false">INDEX('Green Street National'!$F$4:$F$18,MATCH($A13,'Green Street National'!$A$4:$A$18,0))</f>
        <v>109.052228192995</v>
      </c>
      <c r="V13" s="18" t="n">
        <f aca="false">INDEX(Inflation!$D$4:$D$21,MATCH($A13,Inflation!$A$4:$A$21,0))</f>
        <v>158.821420247763</v>
      </c>
      <c r="W13" s="18" t="n">
        <f aca="false">INDEX(Inflation!$E$4:$E$21,MATCH($A13,Inflation!$A$4:$A$21,0))</f>
        <v>134.14803858253</v>
      </c>
      <c r="X13" s="18" t="n">
        <f aca="false">INDEX('Costar - US Multifamily'!$H$2:$H$34,MATCH($A13,'Costar - US Multifamily'!$A$2:$A$34,0))/INDEX('Costar - US Multifamily'!$H$2:$H$34,MATCH(2016,'Costar - US Multifamily'!$A$2:$A$34,0))*100</f>
        <v>128.2987517058</v>
      </c>
      <c r="Y13" s="13" t="n">
        <f aca="false">INDEX('Green Street National'!$C$4:$C$18,MATCH($A13,'Green Street National'!$A$4:$A$18,0))</f>
        <v>0.003249</v>
      </c>
      <c r="Z13" s="13" t="n">
        <f aca="false">INDEX('Costar - US Multifamily'!$F$2:$F$34,MATCH($A13-1,'Costar - US Multifamily'!$A$2:$A$34,0))-INDEX('Costar - US Multifamily'!$F$2:$F$34,MATCH($A13,'Costar - US Multifamily'!$A$2:$A$34,0))</f>
        <v>-0.0014754685047869</v>
      </c>
      <c r="AA13" s="9" t="n">
        <f aca="false">INDEX('Costar - US Multifamily'!$H$2:$H$34,MATCH($A13,'Costar - US Multifamily'!$A$2:$A$34,0))</f>
        <v>1765.86107725045</v>
      </c>
      <c r="AB13" s="19" t="n">
        <f aca="false">1-INDEX('Costar - US Multifamily'!$F$2:$F$34,MATCH($A13,'Costar - US Multifamily'!$A$2:$A$34,0))</f>
        <v>0.915292446721569</v>
      </c>
      <c r="AC13" s="18" t="n">
        <f aca="false">AC12*(1+Y13)</f>
        <v>129.359570747722</v>
      </c>
    </row>
    <row r="15" customFormat="false" ht="15" hidden="false" customHeight="true" outlineLevel="0" collapsed="false">
      <c r="A15" s="2" t="s">
        <v>623</v>
      </c>
    </row>
    <row r="16" customFormat="false" ht="15" hidden="false" customHeight="true" outlineLevel="0" collapsed="false">
      <c r="A16" s="17" t="s">
        <v>624</v>
      </c>
    </row>
    <row r="17" customFormat="false" ht="15" hidden="false" customHeight="true" outlineLevel="0" collapsed="false">
      <c r="A17" s="17" t="s">
        <v>625</v>
      </c>
    </row>
    <row r="18" customFormat="false" ht="15" hidden="false" customHeight="true" outlineLevel="0" collapsed="false">
      <c r="A18" s="17" t="s">
        <v>626</v>
      </c>
    </row>
    <row r="19" customFormat="false" ht="15" hidden="false" customHeight="true" outlineLevel="0" collapsed="false">
      <c r="A19" s="17" t="s">
        <v>627</v>
      </c>
    </row>
    <row r="20" customFormat="false" ht="15" hidden="false" customHeight="true" outlineLevel="0" collapsed="false">
      <c r="A20" s="17" t="s">
        <v>628</v>
      </c>
    </row>
    <row r="21" customFormat="false" ht="15" hidden="false" customHeight="true" outlineLevel="0" collapsed="false">
      <c r="A21" s="17" t="s">
        <v>629</v>
      </c>
    </row>
    <row r="22" customFormat="false" ht="15" hidden="false" customHeight="true" outlineLevel="0" collapsed="false">
      <c r="A22" s="17" t="s">
        <v>630</v>
      </c>
    </row>
    <row r="23" customFormat="false" ht="15" hidden="false" customHeight="true" outlineLevel="0" collapsed="false">
      <c r="A23" s="17" t="s">
        <v>631</v>
      </c>
    </row>
    <row r="24" customFormat="false" ht="15" hidden="false" customHeight="true" outlineLevel="0" collapsed="false">
      <c r="A24" s="17" t="s">
        <v>632</v>
      </c>
    </row>
    <row r="25" customFormat="false" ht="15" hidden="false" customHeight="true" outlineLevel="0" collapsed="false">
      <c r="A25" s="17" t="s">
        <v>633</v>
      </c>
    </row>
    <row r="26" customFormat="false" ht="15" hidden="false" customHeight="true" outlineLevel="0" collapsed="false">
      <c r="A26" s="17" t="s">
        <v>634</v>
      </c>
    </row>
    <row r="27" customFormat="false" ht="15" hidden="false" customHeight="true" outlineLevel="0" collapsed="false">
      <c r="A27" s="17" t="s">
        <v>635</v>
      </c>
    </row>
    <row r="28" customFormat="false" ht="15" hidden="false" customHeight="true" outlineLevel="0" collapsed="false">
      <c r="A28" s="17" t="s">
        <v>636</v>
      </c>
    </row>
    <row r="29" customFormat="false" ht="15" hidden="false" customHeight="true" outlineLevel="0" collapsed="false">
      <c r="A29" s="17" t="s">
        <v>637</v>
      </c>
    </row>
    <row r="30" customFormat="false" ht="15" hidden="false" customHeight="true" outlineLevel="0" collapsed="false">
      <c r="A30" s="17" t="s">
        <v>638</v>
      </c>
    </row>
    <row r="31" customFormat="false" ht="15" hidden="false" customHeight="true" outlineLevel="0" collapsed="false">
      <c r="A31" s="17" t="s">
        <v>639</v>
      </c>
    </row>
    <row r="32" customFormat="false" ht="15" hidden="false" customHeight="true" outlineLevel="0" collapsed="false">
      <c r="A32" s="17" t="s">
        <v>640</v>
      </c>
    </row>
    <row r="33" customFormat="false" ht="15" hidden="false" customHeight="true" outlineLevel="0" collapsed="false">
      <c r="A33" s="17" t="s">
        <v>641</v>
      </c>
    </row>
    <row r="34" customFormat="false" ht="15" hidden="false" customHeight="true" outlineLevel="0" collapsed="false">
      <c r="A34" s="17" t="s">
        <v>642</v>
      </c>
    </row>
    <row r="35" customFormat="false" ht="15" hidden="false" customHeight="true" outlineLevel="0" collapsed="false">
      <c r="A35" s="17" t="s">
        <v>643</v>
      </c>
    </row>
    <row r="36" customFormat="false" ht="15" hidden="false" customHeight="true" outlineLevel="0" collapsed="false">
      <c r="A36" s="17" t="s">
        <v>644</v>
      </c>
    </row>
    <row r="37" customFormat="false" ht="15" hidden="false" customHeight="true" outlineLevel="0" collapsed="false">
      <c r="A37" s="17" t="s">
        <v>645</v>
      </c>
    </row>
    <row r="38" customFormat="false" ht="15" hidden="false" customHeight="true" outlineLevel="0" collapsed="false">
      <c r="A38" s="17" t="s">
        <v>646</v>
      </c>
    </row>
    <row r="39" customFormat="false" ht="15" hidden="false" customHeight="true" outlineLevel="0" collapsed="false">
      <c r="A39" s="17" t="s">
        <v>647</v>
      </c>
    </row>
    <row r="40" customFormat="false" ht="15" hidden="false" customHeight="true" outlineLevel="0" collapsed="false">
      <c r="A40" s="17" t="s">
        <v>648</v>
      </c>
    </row>
    <row r="41" customFormat="false" ht="15" hidden="false" customHeight="true" outlineLevel="0" collapsed="false">
      <c r="A41" s="17" t="s">
        <v>649</v>
      </c>
    </row>
    <row r="42" customFormat="false" ht="15" hidden="false" customHeight="true" outlineLevel="0" collapsed="false">
      <c r="A42" s="17" t="s">
        <v>650</v>
      </c>
    </row>
    <row r="43" customFormat="false" ht="15" hidden="false" customHeight="true" outlineLevel="0" collapsed="false">
      <c r="A43" s="17" t="s">
        <v>651</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X3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50" min="1" style="1" width="15"/>
  </cols>
  <sheetData>
    <row r="1" customFormat="false" ht="15" hidden="false" customHeight="true" outlineLevel="0" collapsed="false">
      <c r="A1" s="4" t="s">
        <v>652</v>
      </c>
    </row>
    <row r="3" customFormat="false" ht="15" hidden="false" customHeight="true" outlineLevel="0" collapsed="false">
      <c r="A3" s="5" t="s">
        <v>653</v>
      </c>
    </row>
    <row r="4" customFormat="false" ht="15" hidden="false" customHeight="true" outlineLevel="0" collapsed="false">
      <c r="A4" s="2" t="s">
        <v>525</v>
      </c>
    </row>
    <row r="6" customFormat="false" ht="21.75" hidden="false" customHeight="true" outlineLevel="0" collapsed="false">
      <c r="B6" s="6" t="s">
        <v>526</v>
      </c>
      <c r="C6" s="6" t="s">
        <v>526</v>
      </c>
      <c r="D6" s="6" t="s">
        <v>527</v>
      </c>
      <c r="E6" s="6" t="s">
        <v>526</v>
      </c>
      <c r="F6" s="6" t="s">
        <v>526</v>
      </c>
      <c r="G6" s="6" t="s">
        <v>527</v>
      </c>
      <c r="H6" s="6" t="s">
        <v>529</v>
      </c>
      <c r="I6" s="6" t="s">
        <v>529</v>
      </c>
      <c r="J6" s="6" t="s">
        <v>527</v>
      </c>
      <c r="K6" s="6" t="s">
        <v>527</v>
      </c>
      <c r="L6" s="6" t="s">
        <v>529</v>
      </c>
      <c r="M6" s="6" t="s">
        <v>529</v>
      </c>
      <c r="N6" s="6" t="s">
        <v>654</v>
      </c>
      <c r="O6" s="6" t="s">
        <v>527</v>
      </c>
      <c r="P6" s="6" t="s">
        <v>527</v>
      </c>
      <c r="Q6" s="6" t="s">
        <v>527</v>
      </c>
      <c r="R6" s="6" t="s">
        <v>531</v>
      </c>
      <c r="S6" s="6" t="s">
        <v>530</v>
      </c>
      <c r="T6" s="6" t="s">
        <v>530</v>
      </c>
      <c r="U6" s="6" t="s">
        <v>531</v>
      </c>
      <c r="V6" s="6" t="s">
        <v>527</v>
      </c>
      <c r="W6" s="6" t="s">
        <v>529</v>
      </c>
      <c r="X6" s="6" t="s">
        <v>529</v>
      </c>
      <c r="Y6" s="6" t="s">
        <v>532</v>
      </c>
      <c r="Z6" s="6" t="s">
        <v>527</v>
      </c>
      <c r="AA6" s="6" t="s">
        <v>527</v>
      </c>
      <c r="AB6" s="6" t="s">
        <v>527</v>
      </c>
      <c r="AC6" s="6" t="s">
        <v>527</v>
      </c>
      <c r="AD6" s="6"/>
      <c r="AE6" s="6" t="s">
        <v>531</v>
      </c>
      <c r="AG6" s="7" t="s">
        <v>526</v>
      </c>
      <c r="AH6" s="7" t="s">
        <v>526</v>
      </c>
      <c r="AI6" s="7" t="s">
        <v>526</v>
      </c>
      <c r="AJ6" s="7" t="s">
        <v>526</v>
      </c>
      <c r="AK6" s="7" t="s">
        <v>529</v>
      </c>
      <c r="AL6" s="7" t="s">
        <v>529</v>
      </c>
      <c r="AM6" s="7" t="s">
        <v>529</v>
      </c>
      <c r="AN6" s="7" t="s">
        <v>529</v>
      </c>
      <c r="AO6" s="7" t="s">
        <v>526</v>
      </c>
      <c r="AP6" s="7" t="s">
        <v>526</v>
      </c>
      <c r="AQ6" s="7" t="s">
        <v>526</v>
      </c>
      <c r="AR6" s="7" t="s">
        <v>526</v>
      </c>
      <c r="AS6" s="7" t="s">
        <v>526</v>
      </c>
      <c r="AT6" s="7" t="s">
        <v>526</v>
      </c>
      <c r="AU6" s="7" t="s">
        <v>527</v>
      </c>
      <c r="AV6" s="7" t="s">
        <v>527</v>
      </c>
      <c r="AW6" s="7" t="s">
        <v>527</v>
      </c>
      <c r="AX6" s="7"/>
    </row>
    <row r="7" customFormat="false" ht="53.25" hidden="false" customHeight="true" outlineLevel="0" collapsed="false">
      <c r="A7" s="8" t="s">
        <v>533</v>
      </c>
      <c r="B7" s="8" t="s">
        <v>534</v>
      </c>
      <c r="C7" s="8" t="s">
        <v>535</v>
      </c>
      <c r="D7" s="8" t="s">
        <v>536</v>
      </c>
      <c r="E7" s="8" t="s">
        <v>537</v>
      </c>
      <c r="F7" s="8" t="s">
        <v>538</v>
      </c>
      <c r="G7" s="8" t="s">
        <v>539</v>
      </c>
      <c r="H7" s="8" t="s">
        <v>540</v>
      </c>
      <c r="I7" s="8" t="s">
        <v>541</v>
      </c>
      <c r="J7" s="8" t="s">
        <v>542</v>
      </c>
      <c r="K7" s="8" t="s">
        <v>543</v>
      </c>
      <c r="L7" s="8" t="s">
        <v>544</v>
      </c>
      <c r="M7" s="8" t="s">
        <v>545</v>
      </c>
      <c r="N7" s="8" t="s">
        <v>546</v>
      </c>
      <c r="O7" s="8" t="s">
        <v>547</v>
      </c>
      <c r="P7" s="8" t="s">
        <v>548</v>
      </c>
      <c r="Q7" s="8" t="s">
        <v>549</v>
      </c>
      <c r="R7" s="8" t="s">
        <v>550</v>
      </c>
      <c r="S7" s="8" t="s">
        <v>551</v>
      </c>
      <c r="T7" s="8" t="s">
        <v>552</v>
      </c>
      <c r="U7" s="8" t="s">
        <v>553</v>
      </c>
      <c r="V7" s="8" t="s">
        <v>554</v>
      </c>
      <c r="W7" s="8" t="s">
        <v>555</v>
      </c>
      <c r="X7" s="8" t="s">
        <v>556</v>
      </c>
      <c r="Y7" s="8" t="s">
        <v>557</v>
      </c>
      <c r="Z7" s="8" t="s">
        <v>558</v>
      </c>
      <c r="AA7" s="8" t="s">
        <v>559</v>
      </c>
      <c r="AB7" s="8" t="s">
        <v>560</v>
      </c>
      <c r="AC7" s="8" t="s">
        <v>561</v>
      </c>
      <c r="AD7" s="8"/>
      <c r="AE7" s="8" t="s">
        <v>562</v>
      </c>
      <c r="AG7" s="8" t="s">
        <v>563</v>
      </c>
      <c r="AH7" s="8" t="s">
        <v>564</v>
      </c>
      <c r="AI7" s="8" t="s">
        <v>565</v>
      </c>
      <c r="AJ7" s="8" t="s">
        <v>566</v>
      </c>
      <c r="AK7" s="8" t="s">
        <v>655</v>
      </c>
      <c r="AL7" s="8" t="s">
        <v>656</v>
      </c>
      <c r="AM7" s="8" t="s">
        <v>569</v>
      </c>
      <c r="AN7" s="8" t="s">
        <v>570</v>
      </c>
      <c r="AO7" s="8" t="s">
        <v>571</v>
      </c>
      <c r="AP7" s="8" t="s">
        <v>572</v>
      </c>
      <c r="AQ7" s="8" t="s">
        <v>573</v>
      </c>
      <c r="AR7" s="8" t="s">
        <v>574</v>
      </c>
      <c r="AS7" s="8" t="s">
        <v>575</v>
      </c>
      <c r="AT7" s="8" t="s">
        <v>657</v>
      </c>
      <c r="AU7" s="8" t="s">
        <v>577</v>
      </c>
      <c r="AV7" s="8" t="s">
        <v>578</v>
      </c>
      <c r="AW7" s="8" t="s">
        <v>579</v>
      </c>
      <c r="AX7" s="8"/>
    </row>
    <row r="8" customFormat="false" ht="15" hidden="false" customHeight="true" outlineLevel="0" collapsed="false">
      <c r="A8" s="2" t="n">
        <v>2025</v>
      </c>
      <c r="B8" s="9" t="n">
        <f aca="false">AG8/1000</f>
        <v>1371.319</v>
      </c>
      <c r="C8" s="9" t="n">
        <f aca="false">AH8/1000</f>
        <v>185.257</v>
      </c>
      <c r="D8" s="9" t="n">
        <f aca="false">B8-C8</f>
        <v>1186.062</v>
      </c>
      <c r="E8" s="10" t="n">
        <v>138.91</v>
      </c>
      <c r="F8" s="11" t="n">
        <f aca="false">AO8/1000</f>
        <v>119.819916</v>
      </c>
      <c r="G8" s="9" t="n">
        <f aca="false">E8*F8</f>
        <v>16644.18453156</v>
      </c>
      <c r="H8" s="9" t="n">
        <f aca="false">AK8/1000</f>
        <v>73.359</v>
      </c>
      <c r="I8" s="9" t="n">
        <f aca="false">AL8/1000</f>
        <v>426.759</v>
      </c>
      <c r="J8" s="9" t="n">
        <f aca="false">H8+I8</f>
        <v>500.118</v>
      </c>
      <c r="K8" s="9" t="n">
        <f aca="false">G8-J8</f>
        <v>16144.06653156</v>
      </c>
      <c r="L8" s="9" t="n">
        <f aca="false">AR8/1000</f>
        <v>5044.979</v>
      </c>
      <c r="M8" s="9" t="n">
        <f aca="false">AS8/1000</f>
        <v>360.393</v>
      </c>
      <c r="N8" s="20" t="n">
        <f aca="false">867846*50/1000000</f>
        <v>43.3923</v>
      </c>
      <c r="O8" s="9" t="n">
        <f aca="false">SUM(L8:N8)</f>
        <v>5448.7643</v>
      </c>
      <c r="P8" s="9" t="n">
        <f aca="false">G8+O8</f>
        <v>22092.94883156</v>
      </c>
      <c r="Q8" s="9" t="n">
        <f aca="false">K8+O8</f>
        <v>21592.83083156</v>
      </c>
      <c r="R8" s="9" t="n">
        <f aca="false">AI8/1000</f>
        <v>1048.383</v>
      </c>
      <c r="S8" s="5" t="s">
        <v>580</v>
      </c>
      <c r="T8" s="5" t="s">
        <v>580</v>
      </c>
      <c r="U8" s="9" t="n">
        <f aca="false">AJ8/1000</f>
        <v>135.375</v>
      </c>
      <c r="V8" s="9" t="n">
        <f aca="false">R8-U8</f>
        <v>913.008</v>
      </c>
      <c r="W8" s="9" t="n">
        <f aca="false">AM8/1000</f>
        <v>1078.175</v>
      </c>
      <c r="X8" s="9" t="n">
        <f aca="false">AN8/1000</f>
        <v>727.246</v>
      </c>
      <c r="Y8" s="13" t="n">
        <f aca="false">INDEX('10 YR UST'!$B:$B,MATCH($A8,'10 YR UST'!$A:$A,0))/100</f>
        <v>0.0418</v>
      </c>
      <c r="Z8" s="13" t="n">
        <f aca="false">B8/Q8</f>
        <v>0.0635080694466279</v>
      </c>
      <c r="AA8" s="13" t="n">
        <f aca="false">D8/K8</f>
        <v>0.0734673632372222</v>
      </c>
      <c r="AB8" s="14" t="n">
        <f aca="false">Q8/B8</f>
        <v>15.7460305235762</v>
      </c>
      <c r="AC8" s="14" t="n">
        <f aca="false">K8/D8</f>
        <v>13.611486188378</v>
      </c>
      <c r="AD8" s="15"/>
      <c r="AE8" s="15" t="n">
        <v>0.956</v>
      </c>
      <c r="AG8" s="12" t="n">
        <v>1371319</v>
      </c>
      <c r="AH8" s="12" t="n">
        <v>185257</v>
      </c>
      <c r="AI8" s="12" t="n">
        <v>1048383</v>
      </c>
      <c r="AJ8" s="12" t="n">
        <v>135375</v>
      </c>
      <c r="AK8" s="12" t="n">
        <v>73359</v>
      </c>
      <c r="AL8" s="12" t="n">
        <v>426759</v>
      </c>
      <c r="AM8" s="12" t="n">
        <v>1078175</v>
      </c>
      <c r="AN8" s="12" t="n">
        <v>727246</v>
      </c>
      <c r="AO8" s="12" t="n">
        <v>119819.916</v>
      </c>
      <c r="AP8" s="12" t="n">
        <v>16644185</v>
      </c>
      <c r="AQ8" s="12" t="n">
        <v>5405372</v>
      </c>
      <c r="AR8" s="12" t="n">
        <v>5044979</v>
      </c>
      <c r="AS8" s="12" t="n">
        <v>360393</v>
      </c>
      <c r="AT8" s="12" t="n">
        <v>913008</v>
      </c>
      <c r="AU8" s="9" t="n">
        <f aca="false">AR8+AS8-AQ8</f>
        <v>0</v>
      </c>
      <c r="AV8" s="9" t="n">
        <f aca="false">E8*AO8-AP8</f>
        <v>-0.468439999967814</v>
      </c>
      <c r="AW8" s="9" t="n">
        <f aca="false">AI8-AJ8-AT8</f>
        <v>0</v>
      </c>
      <c r="AX8" s="12"/>
    </row>
    <row r="9" customFormat="false" ht="15" hidden="false" customHeight="true" outlineLevel="0" collapsed="false">
      <c r="A9" s="2" t="n">
        <v>2024</v>
      </c>
      <c r="B9" s="9" t="n">
        <f aca="false">AG9/1000</f>
        <v>1370.923</v>
      </c>
      <c r="C9" s="9" t="n">
        <f aca="false">AH9/1000</f>
        <v>168.544</v>
      </c>
      <c r="D9" s="9" t="n">
        <f aca="false">B9-C9</f>
        <v>1202.379</v>
      </c>
      <c r="E9" s="10" t="n">
        <v>154.57</v>
      </c>
      <c r="F9" s="11" t="n">
        <f aca="false">AO9/1000</f>
        <v>119.958973</v>
      </c>
      <c r="G9" s="9" t="n">
        <f aca="false">E9*F9</f>
        <v>18542.05845661</v>
      </c>
      <c r="H9" s="9" t="n">
        <f aca="false">AK9/1000</f>
        <v>73.359</v>
      </c>
      <c r="I9" s="9" t="n">
        <f aca="false">AL9/1000</f>
        <v>470.282</v>
      </c>
      <c r="J9" s="9" t="n">
        <f aca="false">H9+I9</f>
        <v>543.641</v>
      </c>
      <c r="K9" s="9" t="n">
        <f aca="false">G9-J9</f>
        <v>17998.41745661</v>
      </c>
      <c r="L9" s="9" t="n">
        <f aca="false">AR9/1000</f>
        <v>4620.69</v>
      </c>
      <c r="M9" s="9" t="n">
        <f aca="false">AS9/1000</f>
        <v>360.267</v>
      </c>
      <c r="N9" s="20" t="n">
        <f aca="false">867846*50/1000000</f>
        <v>43.3923</v>
      </c>
      <c r="O9" s="9" t="n">
        <f aca="false">SUM(L9:N9)</f>
        <v>5024.3493</v>
      </c>
      <c r="P9" s="9" t="n">
        <f aca="false">G9+O9</f>
        <v>23566.40775661</v>
      </c>
      <c r="Q9" s="9" t="n">
        <f aca="false">K9+O9</f>
        <v>23022.76675661</v>
      </c>
      <c r="R9" s="9" t="n">
        <f aca="false">AI9/1000</f>
        <v>1064.985</v>
      </c>
      <c r="S9" s="5" t="s">
        <v>580</v>
      </c>
      <c r="T9" s="5" t="s">
        <v>580</v>
      </c>
      <c r="U9" s="9" t="n">
        <f aca="false">AJ9/1000</f>
        <v>112.228</v>
      </c>
      <c r="V9" s="9" t="n">
        <f aca="false">R9-U9</f>
        <v>952.757</v>
      </c>
      <c r="W9" s="9" t="n">
        <f aca="false">AM9/1000</f>
        <v>1098.292</v>
      </c>
      <c r="X9" s="9" t="n">
        <f aca="false">AN9/1000</f>
        <v>705.16</v>
      </c>
      <c r="Y9" s="13" t="n">
        <f aca="false">INDEX('10 YR UST'!$B:$B,MATCH($A9,'10 YR UST'!$A:$A,0))/100</f>
        <v>0.0458</v>
      </c>
      <c r="Z9" s="13" t="n">
        <f aca="false">B9/Q9</f>
        <v>0.0595464052819107</v>
      </c>
      <c r="AA9" s="13" t="n">
        <f aca="false">D9/K9</f>
        <v>0.0668047067415041</v>
      </c>
      <c r="AB9" s="14" t="n">
        <f aca="false">Q9/B9</f>
        <v>16.7936249932418</v>
      </c>
      <c r="AC9" s="14" t="n">
        <f aca="false">K9/D9</f>
        <v>14.9690051611098</v>
      </c>
      <c r="AD9" s="15"/>
      <c r="AE9" s="15" t="n">
        <v>0.955</v>
      </c>
      <c r="AG9" s="12" t="n">
        <v>1370923</v>
      </c>
      <c r="AH9" s="12" t="n">
        <v>168544</v>
      </c>
      <c r="AI9" s="12" t="n">
        <v>1064985</v>
      </c>
      <c r="AJ9" s="12" t="n">
        <v>112228</v>
      </c>
      <c r="AK9" s="12" t="n">
        <v>73359</v>
      </c>
      <c r="AL9" s="12" t="n">
        <v>470282</v>
      </c>
      <c r="AM9" s="12" t="n">
        <v>1098292</v>
      </c>
      <c r="AN9" s="12" t="n">
        <v>705160</v>
      </c>
      <c r="AO9" s="12" t="n">
        <v>119958.973</v>
      </c>
      <c r="AP9" s="12" t="n">
        <v>18542058</v>
      </c>
      <c r="AQ9" s="12" t="n">
        <v>4980957</v>
      </c>
      <c r="AR9" s="12" t="n">
        <v>4620690</v>
      </c>
      <c r="AS9" s="12" t="n">
        <v>360267</v>
      </c>
      <c r="AT9" s="12" t="n">
        <v>952757</v>
      </c>
      <c r="AU9" s="9" t="n">
        <f aca="false">AR9+AS9-AQ9</f>
        <v>0</v>
      </c>
      <c r="AV9" s="9" t="n">
        <f aca="false">E9*AO9-AP9</f>
        <v>0.45660999789834</v>
      </c>
      <c r="AW9" s="9" t="n">
        <f aca="false">AI9-AJ9-AT9</f>
        <v>0</v>
      </c>
      <c r="AX9" s="12"/>
    </row>
    <row r="10" customFormat="false" ht="15" hidden="false" customHeight="true" outlineLevel="0" collapsed="false">
      <c r="A10" s="2" t="n">
        <v>2023</v>
      </c>
      <c r="B10" s="9" t="n">
        <f aca="false">AG10/1000</f>
        <v>1380.327</v>
      </c>
      <c r="C10" s="9" t="n">
        <f aca="false">AH10/1000</f>
        <v>149.234</v>
      </c>
      <c r="D10" s="9" t="n">
        <f aca="false">B10-C10</f>
        <v>1231.093</v>
      </c>
      <c r="E10" s="10" t="n">
        <v>134.46</v>
      </c>
      <c r="F10" s="11" t="n">
        <f aca="false">AO10/1000</f>
        <v>119.838096</v>
      </c>
      <c r="G10" s="9" t="n">
        <f aca="false">E10*F10</f>
        <v>16113.43038816</v>
      </c>
      <c r="H10" s="9" t="n">
        <f aca="false">AK10/1000</f>
        <v>73.861</v>
      </c>
      <c r="I10" s="9" t="n">
        <f aca="false">AL10/1000</f>
        <v>385.405</v>
      </c>
      <c r="J10" s="9" t="n">
        <f aca="false">H10+I10</f>
        <v>459.266</v>
      </c>
      <c r="K10" s="9" t="n">
        <f aca="false">G10-J10</f>
        <v>15654.16438816</v>
      </c>
      <c r="L10" s="9" t="n">
        <f aca="false">AR10/1000</f>
        <v>4180.084</v>
      </c>
      <c r="M10" s="9" t="n">
        <f aca="false">AS10/1000</f>
        <v>360.141</v>
      </c>
      <c r="N10" s="20" t="n">
        <f aca="false">867846*50/1000000</f>
        <v>43.3923</v>
      </c>
      <c r="O10" s="9" t="n">
        <f aca="false">SUM(L10:N10)</f>
        <v>4583.6173</v>
      </c>
      <c r="P10" s="9" t="n">
        <f aca="false">G10+O10</f>
        <v>20697.04768816</v>
      </c>
      <c r="Q10" s="9" t="n">
        <f aca="false">K10+O10</f>
        <v>20237.78168816</v>
      </c>
      <c r="R10" s="9" t="n">
        <f aca="false">AI10/1000</f>
        <v>1098.12</v>
      </c>
      <c r="S10" s="5" t="s">
        <v>580</v>
      </c>
      <c r="T10" s="5" t="s">
        <v>580</v>
      </c>
      <c r="U10" s="9" t="n">
        <f aca="false">AJ10/1000</f>
        <v>111.685</v>
      </c>
      <c r="V10" s="9" t="n">
        <f aca="false">R10-U10</f>
        <v>986.435</v>
      </c>
      <c r="W10" s="9" t="n">
        <f aca="false">AM10/1000</f>
        <v>1137.187</v>
      </c>
      <c r="X10" s="9" t="n">
        <f aca="false">AN10/1000</f>
        <v>669.388</v>
      </c>
      <c r="Y10" s="13" t="n">
        <f aca="false">INDEX('10 YR UST'!$B:$B,MATCH($A10,'10 YR UST'!$A:$A,0))/100</f>
        <v>0.0388</v>
      </c>
      <c r="Z10" s="13" t="n">
        <f aca="false">B10/Q10</f>
        <v>0.0682054496520018</v>
      </c>
      <c r="AA10" s="13" t="n">
        <f aca="false">D10/K10</f>
        <v>0.0786431628973524</v>
      </c>
      <c r="AB10" s="14" t="n">
        <f aca="false">Q10/B10</f>
        <v>14.6615850361255</v>
      </c>
      <c r="AC10" s="14" t="n">
        <f aca="false">K10/D10</f>
        <v>12.7156635511371</v>
      </c>
      <c r="AD10" s="15"/>
      <c r="AE10" s="15" t="n">
        <v>0.956</v>
      </c>
      <c r="AG10" s="12" t="n">
        <v>1380327</v>
      </c>
      <c r="AH10" s="12" t="n">
        <v>149234</v>
      </c>
      <c r="AI10" s="12" t="n">
        <v>1098120</v>
      </c>
      <c r="AJ10" s="12" t="n">
        <v>111685</v>
      </c>
      <c r="AK10" s="12" t="n">
        <v>73861</v>
      </c>
      <c r="AL10" s="12" t="n">
        <v>385405</v>
      </c>
      <c r="AM10" s="12" t="n">
        <v>1137187</v>
      </c>
      <c r="AN10" s="12" t="n">
        <v>669388</v>
      </c>
      <c r="AO10" s="12" t="n">
        <v>119838.096</v>
      </c>
      <c r="AP10" s="12" t="n">
        <v>16113430</v>
      </c>
      <c r="AQ10" s="12" t="n">
        <v>4540225</v>
      </c>
      <c r="AR10" s="12" t="n">
        <v>4180084</v>
      </c>
      <c r="AS10" s="12" t="n">
        <v>360141</v>
      </c>
      <c r="AT10" s="12" t="n">
        <v>986435</v>
      </c>
      <c r="AU10" s="9" t="n">
        <f aca="false">AR10+AS10-AQ10</f>
        <v>0</v>
      </c>
      <c r="AV10" s="9" t="n">
        <f aca="false">E10*AO10-AP10</f>
        <v>0.38816000148654</v>
      </c>
      <c r="AW10" s="9" t="n">
        <f aca="false">AI10-AJ10-AT10</f>
        <v>0</v>
      </c>
      <c r="AX10" s="12"/>
    </row>
    <row r="11" customFormat="false" ht="15" hidden="false" customHeight="true" outlineLevel="0" collapsed="false">
      <c r="A11" s="2" t="n">
        <v>2022</v>
      </c>
      <c r="B11" s="9" t="n">
        <f aca="false">AG11/1000</f>
        <v>1296.172</v>
      </c>
      <c r="C11" s="9" t="n">
        <f aca="false">AH11/1000</f>
        <v>154.747</v>
      </c>
      <c r="D11" s="9" t="n">
        <f aca="false">B11-C11</f>
        <v>1141.425</v>
      </c>
      <c r="E11" s="10" t="n">
        <v>156.99</v>
      </c>
      <c r="F11" s="11" t="n">
        <f aca="false">AO11/1000</f>
        <v>118.645269</v>
      </c>
      <c r="G11" s="9" t="n">
        <f aca="false">E11*F11</f>
        <v>18626.12078031</v>
      </c>
      <c r="H11" s="9" t="n">
        <f aca="false">AK11/1000</f>
        <v>64.312</v>
      </c>
      <c r="I11" s="9" t="n">
        <f aca="false">AL11/1000</f>
        <v>332.035</v>
      </c>
      <c r="J11" s="9" t="n">
        <f aca="false">H11+I11</f>
        <v>396.347</v>
      </c>
      <c r="K11" s="9" t="n">
        <f aca="false">G11-J11</f>
        <v>18229.77378031</v>
      </c>
      <c r="L11" s="9" t="n">
        <f aca="false">AR11/1000</f>
        <v>4050.91</v>
      </c>
      <c r="M11" s="9" t="n">
        <f aca="false">AS11/1000</f>
        <v>363.993</v>
      </c>
      <c r="N11" s="20" t="n">
        <f aca="false">867846*50/1000000</f>
        <v>43.3923</v>
      </c>
      <c r="O11" s="9" t="n">
        <f aca="false">SUM(L11:N11)</f>
        <v>4458.2953</v>
      </c>
      <c r="P11" s="9" t="n">
        <f aca="false">G11+O11</f>
        <v>23084.41608031</v>
      </c>
      <c r="Q11" s="9" t="n">
        <f aca="false">K11+O11</f>
        <v>22688.06908031</v>
      </c>
      <c r="R11" s="9" t="n">
        <f aca="false">AI11/1000</f>
        <v>1008.206</v>
      </c>
      <c r="S11" s="5" t="s">
        <v>580</v>
      </c>
      <c r="T11" s="5" t="s">
        <v>580</v>
      </c>
      <c r="U11" s="9" t="n">
        <f aca="false">AJ11/1000</f>
        <v>98.168</v>
      </c>
      <c r="V11" s="9" t="n">
        <f aca="false">R11-U11</f>
        <v>910.038</v>
      </c>
      <c r="W11" s="9" t="n">
        <f aca="false">AM11/1000</f>
        <v>1058.479</v>
      </c>
      <c r="X11" s="9" t="n">
        <f aca="false">AN11/1000</f>
        <v>554.532</v>
      </c>
      <c r="Y11" s="13" t="n">
        <f aca="false">INDEX('10 YR UST'!$B:$B,MATCH($A11,'10 YR UST'!$A:$A,0))/100</f>
        <v>0.0388</v>
      </c>
      <c r="Z11" s="13" t="n">
        <f aca="false">B11/Q11</f>
        <v>0.0571301151901416</v>
      </c>
      <c r="AA11" s="13" t="n">
        <f aca="false">D11/K11</f>
        <v>0.062613228982186</v>
      </c>
      <c r="AB11" s="14" t="n">
        <f aca="false">Q11/B11</f>
        <v>17.5039030933472</v>
      </c>
      <c r="AC11" s="14" t="n">
        <f aca="false">K11/D11</f>
        <v>15.9710657996014</v>
      </c>
      <c r="AD11" s="15"/>
      <c r="AE11" s="15" t="n">
        <v>0.957</v>
      </c>
      <c r="AG11" s="12" t="n">
        <v>1296172</v>
      </c>
      <c r="AH11" s="12" t="n">
        <v>154747</v>
      </c>
      <c r="AI11" s="12" t="n">
        <v>1008206</v>
      </c>
      <c r="AJ11" s="12" t="n">
        <v>98168</v>
      </c>
      <c r="AK11" s="12" t="n">
        <v>64312</v>
      </c>
      <c r="AL11" s="12" t="n">
        <v>332035</v>
      </c>
      <c r="AM11" s="12" t="n">
        <v>1058479</v>
      </c>
      <c r="AN11" s="12" t="n">
        <v>554532</v>
      </c>
      <c r="AO11" s="12" t="n">
        <v>118645.269</v>
      </c>
      <c r="AP11" s="12" t="n">
        <v>18626121</v>
      </c>
      <c r="AQ11" s="12" t="n">
        <v>4414903</v>
      </c>
      <c r="AR11" s="12" t="n">
        <v>4050910</v>
      </c>
      <c r="AS11" s="12" t="n">
        <v>363993</v>
      </c>
      <c r="AT11" s="12" t="n">
        <v>910038</v>
      </c>
      <c r="AU11" s="9" t="n">
        <f aca="false">AR11+AS11-AQ11</f>
        <v>0</v>
      </c>
      <c r="AV11" s="9" t="n">
        <f aca="false">E11*AO11-AP11</f>
        <v>-0.219689998775721</v>
      </c>
      <c r="AW11" s="9" t="n">
        <f aca="false">AI11-AJ11-AT11</f>
        <v>0</v>
      </c>
      <c r="AX11" s="12"/>
    </row>
    <row r="12" customFormat="false" ht="15" hidden="false" customHeight="true" outlineLevel="0" collapsed="false">
      <c r="A12" s="2" t="n">
        <v>2021</v>
      </c>
      <c r="B12" s="9" t="n">
        <f aca="false">AG12/1000</f>
        <v>1106.917</v>
      </c>
      <c r="C12" s="9" t="n">
        <f aca="false">AH12/1000</f>
        <v>156.881</v>
      </c>
      <c r="D12" s="9" t="n">
        <f aca="false">B12-C12</f>
        <v>950.036</v>
      </c>
      <c r="E12" s="10" t="n">
        <v>229.44</v>
      </c>
      <c r="F12" s="11" t="n">
        <f aca="false">AO12/1000</f>
        <v>118.542994</v>
      </c>
      <c r="G12" s="9" t="n">
        <f aca="false">E12*F12</f>
        <v>27198.50454336</v>
      </c>
      <c r="H12" s="9" t="n">
        <f aca="false">AK12/1000</f>
        <v>24.015</v>
      </c>
      <c r="I12" s="9" t="n">
        <f aca="false">AL12/1000</f>
        <v>247.97</v>
      </c>
      <c r="J12" s="9" t="n">
        <f aca="false">H12+I12</f>
        <v>271.985</v>
      </c>
      <c r="K12" s="9" t="n">
        <f aca="false">G12-J12</f>
        <v>26926.51954336</v>
      </c>
      <c r="L12" s="9" t="n">
        <f aca="false">AR12/1000</f>
        <v>4151.375</v>
      </c>
      <c r="M12" s="9" t="n">
        <f aca="false">AS12/1000</f>
        <v>365.315</v>
      </c>
      <c r="N12" s="20" t="n">
        <f aca="false">867846*50/1000000</f>
        <v>43.3923</v>
      </c>
      <c r="O12" s="9" t="n">
        <f aca="false">SUM(L12:N12)</f>
        <v>4560.0823</v>
      </c>
      <c r="P12" s="9" t="n">
        <f aca="false">G12+O12</f>
        <v>31758.58684336</v>
      </c>
      <c r="Q12" s="9" t="n">
        <f aca="false">K12+O12</f>
        <v>31486.60184336</v>
      </c>
      <c r="R12" s="9" t="n">
        <f aca="false">AI12/1000</f>
        <v>830.615</v>
      </c>
      <c r="S12" s="5" t="s">
        <v>580</v>
      </c>
      <c r="T12" s="5" t="s">
        <v>580</v>
      </c>
      <c r="U12" s="9" t="n">
        <f aca="false">AJ12/1000</f>
        <v>81.106</v>
      </c>
      <c r="V12" s="9" t="n">
        <f aca="false">R12-U12</f>
        <v>749.509</v>
      </c>
      <c r="W12" s="9" t="n">
        <f aca="false">AM12/1000</f>
        <v>894.967</v>
      </c>
      <c r="X12" s="9" t="n">
        <f aca="false">AN12/1000</f>
        <v>485.898</v>
      </c>
      <c r="Y12" s="13" t="n">
        <f aca="false">INDEX('10 YR UST'!$B:$B,MATCH($A12,'10 YR UST'!$A:$A,0))/100</f>
        <v>0.0152</v>
      </c>
      <c r="Z12" s="13" t="n">
        <f aca="false">B12/Q12</f>
        <v>0.0351551750648325</v>
      </c>
      <c r="AA12" s="13" t="n">
        <f aca="false">D12/K12</f>
        <v>0.0352825398941794</v>
      </c>
      <c r="AB12" s="14" t="n">
        <f aca="false">Q12/B12</f>
        <v>28.4453141864837</v>
      </c>
      <c r="AC12" s="14" t="n">
        <f aca="false">K12/D12</f>
        <v>28.3426307459507</v>
      </c>
      <c r="AD12" s="15"/>
      <c r="AE12" s="15" t="n">
        <v>0.961</v>
      </c>
      <c r="AG12" s="12" t="n">
        <v>1106917</v>
      </c>
      <c r="AH12" s="12" t="n">
        <v>156881</v>
      </c>
      <c r="AI12" s="12" t="n">
        <v>830615</v>
      </c>
      <c r="AJ12" s="12" t="n">
        <v>81106</v>
      </c>
      <c r="AK12" s="12" t="n">
        <v>24015</v>
      </c>
      <c r="AL12" s="12" t="n">
        <v>247970</v>
      </c>
      <c r="AM12" s="12" t="n">
        <v>894967</v>
      </c>
      <c r="AN12" s="12" t="n">
        <v>485898</v>
      </c>
      <c r="AO12" s="12" t="n">
        <v>118542.994</v>
      </c>
      <c r="AP12" s="12" t="n">
        <v>27198505</v>
      </c>
      <c r="AQ12" s="12" t="n">
        <v>4516690</v>
      </c>
      <c r="AR12" s="12" t="n">
        <v>4151375</v>
      </c>
      <c r="AS12" s="12" t="n">
        <v>365315</v>
      </c>
      <c r="AT12" s="12" t="n">
        <v>749509</v>
      </c>
      <c r="AU12" s="9" t="n">
        <f aca="false">AR12+AS12-AQ12</f>
        <v>0</v>
      </c>
      <c r="AV12" s="9" t="n">
        <f aca="false">E12*AO12-AP12</f>
        <v>-0.456639997661114</v>
      </c>
      <c r="AW12" s="9" t="n">
        <f aca="false">AI12-AJ12-AT12</f>
        <v>0</v>
      </c>
      <c r="AX12" s="12"/>
    </row>
    <row r="13" customFormat="false" ht="15" hidden="false" customHeight="true" outlineLevel="0" collapsed="false">
      <c r="A13" s="2" t="n">
        <v>2020</v>
      </c>
      <c r="B13" s="9" t="n">
        <f aca="false">AG13/1000</f>
        <v>1037.513</v>
      </c>
      <c r="C13" s="9" t="n">
        <f aca="false">AH13/1000</f>
        <v>167.562</v>
      </c>
      <c r="D13" s="9" t="n">
        <f aca="false">B13-C13</f>
        <v>869.951</v>
      </c>
      <c r="E13" s="10" t="n">
        <v>126.69</v>
      </c>
      <c r="F13" s="11" t="n">
        <f aca="false">AO13/1000</f>
        <v>118.431384</v>
      </c>
      <c r="G13" s="9" t="n">
        <f aca="false">E13*F13</f>
        <v>15004.07203896</v>
      </c>
      <c r="H13" s="9" t="n">
        <f aca="false">AK13/1000</f>
        <v>60.993</v>
      </c>
      <c r="I13" s="9" t="n">
        <f aca="false">AL13/1000</f>
        <v>283.477</v>
      </c>
      <c r="J13" s="9" t="n">
        <f aca="false">H13+I13</f>
        <v>344.47</v>
      </c>
      <c r="K13" s="9" t="n">
        <f aca="false">G13-J13</f>
        <v>14659.60203896</v>
      </c>
      <c r="L13" s="9" t="n">
        <f aca="false">AR13/1000</f>
        <v>4077.373</v>
      </c>
      <c r="M13" s="9" t="n">
        <f aca="false">AS13/1000</f>
        <v>485.339</v>
      </c>
      <c r="N13" s="20" t="n">
        <f aca="false">867846*50/1000000</f>
        <v>43.3923</v>
      </c>
      <c r="O13" s="9" t="n">
        <f aca="false">SUM(L13:N13)</f>
        <v>4606.1043</v>
      </c>
      <c r="P13" s="9" t="n">
        <f aca="false">G13+O13</f>
        <v>19610.17633896</v>
      </c>
      <c r="Q13" s="9" t="n">
        <f aca="false">K13+O13</f>
        <v>19265.70633896</v>
      </c>
      <c r="R13" s="9" t="n">
        <f aca="false">AI13/1000</f>
        <v>761.352</v>
      </c>
      <c r="S13" s="5" t="s">
        <v>580</v>
      </c>
      <c r="T13" s="5" t="s">
        <v>580</v>
      </c>
      <c r="U13" s="9" t="n">
        <f aca="false">AJ13/1000</f>
        <v>80.42</v>
      </c>
      <c r="V13" s="9" t="n">
        <f aca="false">R13-U13</f>
        <v>680.932</v>
      </c>
      <c r="W13" s="9" t="n">
        <f aca="false">AM13/1000</f>
        <v>823.949</v>
      </c>
      <c r="X13" s="9" t="n">
        <f aca="false">AN13/1000</f>
        <v>473.598</v>
      </c>
      <c r="Y13" s="13" t="n">
        <f aca="false">INDEX('10 YR UST'!$B:$B,MATCH($A13,'10 YR UST'!$A:$A,0))/100</f>
        <v>0.0093</v>
      </c>
      <c r="Z13" s="13" t="n">
        <f aca="false">B13/Q13</f>
        <v>0.0538528399502225</v>
      </c>
      <c r="AA13" s="13" t="n">
        <f aca="false">D13/K13</f>
        <v>0.0593434254004972</v>
      </c>
      <c r="AB13" s="14" t="n">
        <f aca="false">Q13/B13</f>
        <v>18.569122834085</v>
      </c>
      <c r="AC13" s="14" t="n">
        <f aca="false">K13/D13</f>
        <v>16.8510663692093</v>
      </c>
      <c r="AD13" s="15"/>
      <c r="AE13" s="15" t="n">
        <v>0.956</v>
      </c>
      <c r="AG13" s="12" t="n">
        <v>1037513</v>
      </c>
      <c r="AH13" s="12" t="n">
        <v>167562</v>
      </c>
      <c r="AI13" s="12" t="n">
        <v>761352</v>
      </c>
      <c r="AJ13" s="12" t="n">
        <v>80420</v>
      </c>
      <c r="AK13" s="12" t="n">
        <v>60993</v>
      </c>
      <c r="AL13" s="12" t="n">
        <v>283477</v>
      </c>
      <c r="AM13" s="12" t="n">
        <v>823949</v>
      </c>
      <c r="AN13" s="12" t="n">
        <v>473598</v>
      </c>
      <c r="AO13" s="12" t="n">
        <v>118431.384</v>
      </c>
      <c r="AP13" s="12" t="n">
        <v>15004072</v>
      </c>
      <c r="AQ13" s="12" t="n">
        <v>4562712</v>
      </c>
      <c r="AR13" s="12" t="n">
        <v>4077373</v>
      </c>
      <c r="AS13" s="12" t="n">
        <v>485339</v>
      </c>
      <c r="AT13" s="12" t="n">
        <v>680932</v>
      </c>
      <c r="AU13" s="9" t="n">
        <f aca="false">AR13+AS13-AQ13</f>
        <v>0</v>
      </c>
      <c r="AV13" s="9" t="n">
        <f aca="false">E13*AO13-AP13</f>
        <v>0.038960000500083</v>
      </c>
      <c r="AW13" s="9" t="n">
        <f aca="false">AI13-AJ13-AT13</f>
        <v>0</v>
      </c>
      <c r="AX13" s="12"/>
    </row>
    <row r="14" customFormat="false" ht="15" hidden="false" customHeight="true" outlineLevel="0" collapsed="false">
      <c r="A14" s="2" t="n">
        <v>2019</v>
      </c>
      <c r="B14" s="9" t="n">
        <f aca="false">AG14/1000</f>
        <v>1028.172</v>
      </c>
      <c r="C14" s="9" t="n">
        <f aca="false">AH14/1000</f>
        <v>179.847</v>
      </c>
      <c r="D14" s="9" t="n">
        <f aca="false">B14-C14</f>
        <v>848.325</v>
      </c>
      <c r="E14" s="10" t="n">
        <v>131.86</v>
      </c>
      <c r="F14" s="11" t="n">
        <f aca="false">AO14/1000</f>
        <v>118.313567</v>
      </c>
      <c r="G14" s="9" t="n">
        <f aca="false">E14*F14</f>
        <v>15600.82694462</v>
      </c>
      <c r="H14" s="9" t="n">
        <f aca="false">AK14/1000</f>
        <v>34.548</v>
      </c>
      <c r="I14" s="9" t="n">
        <f aca="false">AL14/1000</f>
        <v>116.424</v>
      </c>
      <c r="J14" s="9" t="n">
        <f aca="false">H14+I14</f>
        <v>150.972</v>
      </c>
      <c r="K14" s="9" t="n">
        <f aca="false">G14-J14</f>
        <v>15449.85494462</v>
      </c>
      <c r="L14" s="9" t="n">
        <f aca="false">AR14/1000</f>
        <v>3828.201</v>
      </c>
      <c r="M14" s="9" t="n">
        <f aca="false">AS14/1000</f>
        <v>626.397</v>
      </c>
      <c r="N14" s="20" t="n">
        <f aca="false">867846*50/1000000</f>
        <v>43.3923</v>
      </c>
      <c r="O14" s="9" t="n">
        <f aca="false">SUM(L14:N14)</f>
        <v>4497.9903</v>
      </c>
      <c r="P14" s="9" t="n">
        <f aca="false">G14+O14</f>
        <v>20098.81724462</v>
      </c>
      <c r="Q14" s="9" t="n">
        <f aca="false">K14+O14</f>
        <v>19947.84524462</v>
      </c>
      <c r="R14" s="9" t="n">
        <f aca="false">AI14/1000</f>
        <v>773.192</v>
      </c>
      <c r="S14" s="5" t="s">
        <v>580</v>
      </c>
      <c r="T14" s="5" t="s">
        <v>580</v>
      </c>
      <c r="U14" s="9" t="n">
        <f aca="false">AJ14/1000</f>
        <v>72.781</v>
      </c>
      <c r="V14" s="9" t="n">
        <f aca="false">R14-U14</f>
        <v>700.411</v>
      </c>
      <c r="W14" s="9" t="n">
        <f aca="false">AM14/1000</f>
        <v>781.42</v>
      </c>
      <c r="X14" s="9" t="n">
        <f aca="false">AN14/1000</f>
        <v>453.682</v>
      </c>
      <c r="Y14" s="13" t="n">
        <f aca="false">INDEX('10 YR UST'!$B:$B,MATCH($A14,'10 YR UST'!$A:$A,0))/100</f>
        <v>0.0192</v>
      </c>
      <c r="Z14" s="13" t="n">
        <f aca="false">B14/Q14</f>
        <v>0.0515430106556146</v>
      </c>
      <c r="AA14" s="13" t="n">
        <f aca="false">D14/K14</f>
        <v>0.0549082825075589</v>
      </c>
      <c r="AB14" s="14" t="n">
        <f aca="false">Q14/B14</f>
        <v>19.4012725931264</v>
      </c>
      <c r="AC14" s="14" t="n">
        <f aca="false">K14/D14</f>
        <v>18.2121886595585</v>
      </c>
      <c r="AD14" s="15"/>
      <c r="AE14" s="15" t="n">
        <v>0.959</v>
      </c>
      <c r="AG14" s="12" t="n">
        <v>1028172</v>
      </c>
      <c r="AH14" s="12" t="n">
        <v>179847</v>
      </c>
      <c r="AI14" s="12" t="n">
        <v>773192</v>
      </c>
      <c r="AJ14" s="12" t="n">
        <v>72781</v>
      </c>
      <c r="AK14" s="12" t="n">
        <v>34548</v>
      </c>
      <c r="AL14" s="12" t="n">
        <v>116424</v>
      </c>
      <c r="AM14" s="12" t="n">
        <v>781420</v>
      </c>
      <c r="AN14" s="12" t="n">
        <v>453682</v>
      </c>
      <c r="AO14" s="12" t="n">
        <v>118313.567</v>
      </c>
      <c r="AP14" s="12" t="n">
        <v>15600827</v>
      </c>
      <c r="AQ14" s="12" t="n">
        <v>4454598</v>
      </c>
      <c r="AR14" s="12" t="n">
        <v>3828201</v>
      </c>
      <c r="AS14" s="12" t="n">
        <v>626397</v>
      </c>
      <c r="AT14" s="12" t="n">
        <v>700411</v>
      </c>
      <c r="AU14" s="9" t="n">
        <f aca="false">AR14+AS14-AQ14</f>
        <v>0</v>
      </c>
      <c r="AV14" s="9" t="n">
        <f aca="false">E14*AO14-AP14</f>
        <v>-0.0553799998015165</v>
      </c>
      <c r="AW14" s="9" t="n">
        <f aca="false">AI14-AJ14-AT14</f>
        <v>0</v>
      </c>
      <c r="AX14" s="12"/>
    </row>
    <row r="15" customFormat="false" ht="15" hidden="false" customHeight="true" outlineLevel="0" collapsed="false">
      <c r="A15" s="2" t="n">
        <v>2018</v>
      </c>
      <c r="B15" s="9" t="n">
        <f aca="false">AG15/1000</f>
        <v>976.758</v>
      </c>
      <c r="C15" s="9" t="n">
        <f aca="false">AH15/1000</f>
        <v>173.594</v>
      </c>
      <c r="D15" s="9" t="n">
        <f aca="false">B15-C15</f>
        <v>803.164</v>
      </c>
      <c r="E15" s="10" t="n">
        <v>95.7</v>
      </c>
      <c r="F15" s="11" t="n">
        <f aca="false">AO15/1000</f>
        <v>117.955568</v>
      </c>
      <c r="G15" s="9" t="n">
        <f aca="false">E15*F15</f>
        <v>11288.3478576</v>
      </c>
      <c r="H15" s="9" t="n">
        <f aca="false">AK15/1000</f>
        <v>58.257</v>
      </c>
      <c r="I15" s="9" t="n">
        <f aca="false">AL15/1000</f>
        <v>59.506</v>
      </c>
      <c r="J15" s="9" t="n">
        <f aca="false">H15+I15</f>
        <v>117.763</v>
      </c>
      <c r="K15" s="9" t="n">
        <f aca="false">G15-J15</f>
        <v>11170.5848576</v>
      </c>
      <c r="L15" s="9" t="n">
        <f aca="false">AR15/1000</f>
        <v>4053.302</v>
      </c>
      <c r="M15" s="9" t="n">
        <f aca="false">AS15/1000</f>
        <v>475.026</v>
      </c>
      <c r="N15" s="20" t="n">
        <f aca="false">867846*50/1000000</f>
        <v>43.3923</v>
      </c>
      <c r="O15" s="9" t="n">
        <f aca="false">SUM(L15:N15)</f>
        <v>4571.7203</v>
      </c>
      <c r="P15" s="9" t="n">
        <f aca="false">G15+O15</f>
        <v>15860.0681576</v>
      </c>
      <c r="Q15" s="9" t="n">
        <f aca="false">K15+O15</f>
        <v>15742.3051576</v>
      </c>
      <c r="R15" s="9" t="n">
        <f aca="false">AI15/1000</f>
        <v>712.69</v>
      </c>
      <c r="S15" s="5" t="s">
        <v>580</v>
      </c>
      <c r="T15" s="5" t="s">
        <v>580</v>
      </c>
      <c r="U15" s="9" t="n">
        <f aca="false">AJ15/1000</f>
        <v>74.693</v>
      </c>
      <c r="V15" s="9" t="n">
        <f aca="false">R15-U15</f>
        <v>637.997</v>
      </c>
      <c r="W15" s="9" t="n">
        <f aca="false">AM15/1000</f>
        <v>734.292</v>
      </c>
      <c r="X15" s="9" t="n">
        <f aca="false">AN15/1000</f>
        <v>434.928</v>
      </c>
      <c r="Y15" s="13" t="n">
        <f aca="false">INDEX('10 YR UST'!$B:$B,MATCH($A15,'10 YR UST'!$A:$A,0))/100</f>
        <v>0.0269</v>
      </c>
      <c r="Z15" s="13" t="n">
        <f aca="false">B15/Q15</f>
        <v>0.0620466945737261</v>
      </c>
      <c r="AA15" s="13" t="n">
        <f aca="false">D15/K15</f>
        <v>0.071899905890206</v>
      </c>
      <c r="AB15" s="14" t="n">
        <f aca="false">Q15/B15</f>
        <v>16.1168940081371</v>
      </c>
      <c r="AC15" s="14" t="n">
        <f aca="false">K15/D15</f>
        <v>13.9082240458985</v>
      </c>
      <c r="AD15" s="15"/>
      <c r="AE15" s="15" t="n">
        <v>0.961</v>
      </c>
      <c r="AG15" s="12" t="n">
        <v>976758</v>
      </c>
      <c r="AH15" s="12" t="n">
        <v>173594</v>
      </c>
      <c r="AI15" s="12" t="n">
        <v>712690</v>
      </c>
      <c r="AJ15" s="12" t="n">
        <v>74693</v>
      </c>
      <c r="AK15" s="12" t="n">
        <v>58257</v>
      </c>
      <c r="AL15" s="12" t="n">
        <v>59506</v>
      </c>
      <c r="AM15" s="12" t="n">
        <v>734292</v>
      </c>
      <c r="AN15" s="12" t="n">
        <v>434928</v>
      </c>
      <c r="AO15" s="12" t="n">
        <v>117955.568</v>
      </c>
      <c r="AP15" s="12" t="n">
        <v>11288348</v>
      </c>
      <c r="AQ15" s="12" t="n">
        <v>4528328</v>
      </c>
      <c r="AR15" s="12" t="n">
        <v>4053302</v>
      </c>
      <c r="AS15" s="12" t="n">
        <v>475026</v>
      </c>
      <c r="AT15" s="12" t="n">
        <v>637997</v>
      </c>
      <c r="AU15" s="9" t="n">
        <f aca="false">AR15+AS15-AQ15</f>
        <v>0</v>
      </c>
      <c r="AV15" s="9" t="n">
        <f aca="false">E15*AO15-AP15</f>
        <v>-0.142400000244379</v>
      </c>
      <c r="AW15" s="9" t="n">
        <f aca="false">AI15-AJ15-AT15</f>
        <v>0</v>
      </c>
      <c r="AX15" s="12"/>
    </row>
    <row r="16" customFormat="false" ht="15" hidden="false" customHeight="true" outlineLevel="0" collapsed="false">
      <c r="A16" s="2" t="n">
        <v>2017</v>
      </c>
      <c r="B16" s="9" t="n">
        <f aca="false">AG16/1000</f>
        <v>952.256</v>
      </c>
      <c r="C16" s="9" t="n">
        <f aca="false">AH16/1000</f>
        <v>154.751</v>
      </c>
      <c r="D16" s="9" t="n">
        <f aca="false">B16-C16</f>
        <v>797.505</v>
      </c>
      <c r="E16" s="10" t="n">
        <v>100.56</v>
      </c>
      <c r="F16" s="11" t="n">
        <f aca="false">AO16/1000</f>
        <v>117.834752</v>
      </c>
      <c r="G16" s="9" t="n">
        <f aca="false">E16*F16</f>
        <v>11849.46266112</v>
      </c>
      <c r="H16" s="9" t="n">
        <f aca="false">AK16/1000</f>
        <v>57.285</v>
      </c>
      <c r="I16" s="9" t="n">
        <f aca="false">AL16/1000</f>
        <v>116.833</v>
      </c>
      <c r="J16" s="9" t="n">
        <f aca="false">H16+I16</f>
        <v>174.118</v>
      </c>
      <c r="K16" s="9" t="n">
        <f aca="false">G16-J16</f>
        <v>11675.34466112</v>
      </c>
      <c r="L16" s="9" t="n">
        <f aca="false">AR16/1000</f>
        <v>3525.765</v>
      </c>
      <c r="M16" s="9" t="n">
        <f aca="false">AS16/1000</f>
        <v>976.292</v>
      </c>
      <c r="N16" s="20" t="n">
        <f aca="false">867846*50/1000000</f>
        <v>43.3923</v>
      </c>
      <c r="O16" s="9" t="n">
        <f aca="false">SUM(L16:N16)</f>
        <v>4545.4493</v>
      </c>
      <c r="P16" s="9" t="n">
        <f aca="false">G16+O16</f>
        <v>16394.91196112</v>
      </c>
      <c r="Q16" s="9" t="n">
        <f aca="false">K16+O16</f>
        <v>16220.79396112</v>
      </c>
      <c r="R16" s="9" t="n">
        <f aca="false">AI16/1000</f>
        <v>699.561</v>
      </c>
      <c r="S16" s="5" t="s">
        <v>580</v>
      </c>
      <c r="T16" s="5" t="s">
        <v>580</v>
      </c>
      <c r="U16" s="9" t="n">
        <f aca="false">AJ16/1000</f>
        <v>75.235</v>
      </c>
      <c r="V16" s="9" t="n">
        <f aca="false">R16-U16</f>
        <v>624.326</v>
      </c>
      <c r="W16" s="9" t="n">
        <f aca="false">AM16/1000</f>
        <v>658.513</v>
      </c>
      <c r="X16" s="9" t="n">
        <f aca="false">AN16/1000</f>
        <v>409.948</v>
      </c>
      <c r="Y16" s="13" t="n">
        <f aca="false">INDEX('10 YR UST'!$B:$B,MATCH($A16,'10 YR UST'!$A:$A,0))/100</f>
        <v>0.024</v>
      </c>
      <c r="Z16" s="13" t="n">
        <f aca="false">B16/Q16</f>
        <v>0.0587058809995667</v>
      </c>
      <c r="AA16" s="13" t="n">
        <f aca="false">D16/K16</f>
        <v>0.0683067629391505</v>
      </c>
      <c r="AB16" s="14" t="n">
        <f aca="false">Q16/B16</f>
        <v>17.034068528967</v>
      </c>
      <c r="AC16" s="14" t="n">
        <f aca="false">K16/D16</f>
        <v>14.6398388237315</v>
      </c>
      <c r="AD16" s="16"/>
      <c r="AE16" s="15" t="n">
        <v>0.962</v>
      </c>
      <c r="AG16" s="12" t="n">
        <v>952256</v>
      </c>
      <c r="AH16" s="12" t="n">
        <v>154751</v>
      </c>
      <c r="AI16" s="12" t="n">
        <v>699561</v>
      </c>
      <c r="AJ16" s="12" t="n">
        <v>75235</v>
      </c>
      <c r="AK16" s="12" t="n">
        <v>57285</v>
      </c>
      <c r="AL16" s="12" t="n">
        <v>116833</v>
      </c>
      <c r="AM16" s="12" t="n">
        <v>658513</v>
      </c>
      <c r="AN16" s="12" t="n">
        <v>409948</v>
      </c>
      <c r="AO16" s="12" t="n">
        <v>117834.752</v>
      </c>
      <c r="AP16" s="12" t="n">
        <v>11849463</v>
      </c>
      <c r="AQ16" s="12" t="n">
        <v>4502057</v>
      </c>
      <c r="AR16" s="12" t="n">
        <v>3525765</v>
      </c>
      <c r="AS16" s="12" t="n">
        <v>976292</v>
      </c>
      <c r="AT16" s="12" t="n">
        <v>624326</v>
      </c>
      <c r="AU16" s="9" t="n">
        <f aca="false">AR16+AS16-AQ16</f>
        <v>0</v>
      </c>
      <c r="AV16" s="9" t="n">
        <f aca="false">E16*AO16-AP16</f>
        <v>-0.338880000635982</v>
      </c>
      <c r="AW16" s="9" t="n">
        <f aca="false">AI16-AJ16-AT16</f>
        <v>0</v>
      </c>
      <c r="AX16" s="12"/>
    </row>
    <row r="17" customFormat="false" ht="15" hidden="false" customHeight="true" outlineLevel="0" collapsed="false">
      <c r="A17" s="2" t="n">
        <v>2016</v>
      </c>
      <c r="B17" s="9" t="n">
        <f aca="false">AG17/1000</f>
        <v>701.992</v>
      </c>
      <c r="C17" s="9" t="n">
        <f aca="false">AH17/1000</f>
        <v>129.947</v>
      </c>
      <c r="D17" s="9" t="n">
        <f aca="false">B17-C17</f>
        <v>572.045</v>
      </c>
      <c r="E17" s="10" t="n">
        <v>97.92</v>
      </c>
      <c r="F17" s="11" t="n">
        <f aca="false">AO17/1000</f>
        <v>117.738615</v>
      </c>
      <c r="G17" s="9" t="n">
        <f aca="false">E17*F17</f>
        <v>11528.9651808</v>
      </c>
      <c r="H17" s="9" t="n">
        <f aca="false">AK17/1000</f>
        <v>71.464</v>
      </c>
      <c r="I17" s="9" t="n">
        <f aca="false">AL17/1000</f>
        <v>231.224</v>
      </c>
      <c r="J17" s="9" t="n">
        <f aca="false">H17+I17</f>
        <v>302.688</v>
      </c>
      <c r="K17" s="9" t="n">
        <f aca="false">G17-J17</f>
        <v>11226.2771808</v>
      </c>
      <c r="L17" s="9" t="n">
        <f aca="false">AR17/1000</f>
        <v>3180.624</v>
      </c>
      <c r="M17" s="9" t="n">
        <f aca="false">AS17/1000</f>
        <v>1319.088</v>
      </c>
      <c r="N17" s="20" t="n">
        <f aca="false">867846*50/1000000</f>
        <v>43.3923</v>
      </c>
      <c r="O17" s="9" t="n">
        <f aca="false">SUM(L17:N17)</f>
        <v>4543.1043</v>
      </c>
      <c r="P17" s="9" t="n">
        <f aca="false">G17+O17</f>
        <v>16072.0694808</v>
      </c>
      <c r="Q17" s="9" t="n">
        <f aca="false">K17+O17</f>
        <v>15769.3814808</v>
      </c>
      <c r="R17" s="9" t="n">
        <f aca="false">AI17/1000</f>
        <v>490.309</v>
      </c>
      <c r="S17" s="5" t="s">
        <v>580</v>
      </c>
      <c r="T17" s="5" t="s">
        <v>580</v>
      </c>
      <c r="U17" s="9" t="n">
        <f aca="false">AJ17/1000</f>
        <v>51.732</v>
      </c>
      <c r="V17" s="9" t="n">
        <f aca="false">R17-U17</f>
        <v>438.577</v>
      </c>
      <c r="W17" s="9" t="n">
        <f aca="false">AM17/1000</f>
        <v>484.039</v>
      </c>
      <c r="X17" s="9" t="n">
        <f aca="false">AN17/1000</f>
        <v>261.502</v>
      </c>
      <c r="Y17" s="13" t="n">
        <f aca="false">INDEX('10 YR UST'!$B:$B,MATCH($A17,'10 YR UST'!$A:$A,0))/100</f>
        <v>0.0245</v>
      </c>
      <c r="Z17" s="13" t="n">
        <f aca="false">B17/Q17</f>
        <v>0.044516140398703</v>
      </c>
      <c r="AA17" s="13" t="n">
        <f aca="false">D17/K17</f>
        <v>0.0509558948872519</v>
      </c>
      <c r="AB17" s="14" t="n">
        <f aca="false">Q17/B17</f>
        <v>22.4637623801981</v>
      </c>
      <c r="AC17" s="14" t="n">
        <f aca="false">K17/D17</f>
        <v>19.6248147974373</v>
      </c>
      <c r="AD17" s="16"/>
      <c r="AE17" s="15" t="n">
        <v>0.962</v>
      </c>
      <c r="AG17" s="12" t="n">
        <v>701992</v>
      </c>
      <c r="AH17" s="12" t="n">
        <v>129947</v>
      </c>
      <c r="AI17" s="12" t="n">
        <v>490309</v>
      </c>
      <c r="AJ17" s="12" t="n">
        <v>51732</v>
      </c>
      <c r="AK17" s="12" t="n">
        <v>71464</v>
      </c>
      <c r="AL17" s="12" t="n">
        <v>231224</v>
      </c>
      <c r="AM17" s="12" t="n">
        <v>484039</v>
      </c>
      <c r="AN17" s="12" t="n">
        <v>261502</v>
      </c>
      <c r="AO17" s="12" t="n">
        <v>117738.615</v>
      </c>
      <c r="AP17" s="12" t="n">
        <v>11528965</v>
      </c>
      <c r="AQ17" s="12" t="n">
        <v>4499712</v>
      </c>
      <c r="AR17" s="12" t="n">
        <v>3180624</v>
      </c>
      <c r="AS17" s="12" t="n">
        <v>1319088</v>
      </c>
      <c r="AT17" s="12" t="n">
        <v>438577</v>
      </c>
      <c r="AU17" s="9" t="n">
        <f aca="false">AR17+AS17-AQ17</f>
        <v>0</v>
      </c>
      <c r="AV17" s="9" t="n">
        <f aca="false">E17*AO17-AP17</f>
        <v>0.180800000205636</v>
      </c>
      <c r="AW17" s="9" t="n">
        <f aca="false">AI17-AJ17-AT17</f>
        <v>0</v>
      </c>
      <c r="AX17" s="12"/>
    </row>
    <row r="20" customFormat="false" ht="15" hidden="false" customHeight="true" outlineLevel="0" collapsed="false">
      <c r="A20" s="2" t="s">
        <v>581</v>
      </c>
    </row>
    <row r="21" customFormat="false" ht="15" hidden="false" customHeight="true" outlineLevel="0" collapsed="false">
      <c r="A21" s="5" t="s">
        <v>658</v>
      </c>
    </row>
    <row r="22" customFormat="false" ht="15" hidden="false" customHeight="true" outlineLevel="0" collapsed="false">
      <c r="A22" s="5" t="s">
        <v>659</v>
      </c>
    </row>
    <row r="23" customFormat="false" ht="15" hidden="false" customHeight="true" outlineLevel="0" collapsed="false">
      <c r="A23" s="5" t="s">
        <v>660</v>
      </c>
    </row>
    <row r="24" customFormat="false" ht="15" hidden="false" customHeight="true" outlineLevel="0" collapsed="false">
      <c r="A24" s="5" t="s">
        <v>661</v>
      </c>
    </row>
    <row r="25" customFormat="false" ht="15" hidden="false" customHeight="true" outlineLevel="0" collapsed="false">
      <c r="A25" s="5" t="s">
        <v>662</v>
      </c>
    </row>
    <row r="26" customFormat="false" ht="15" hidden="false" customHeight="true" outlineLevel="0" collapsed="false">
      <c r="A26" s="5" t="s">
        <v>663</v>
      </c>
    </row>
    <row r="27" customFormat="false" ht="15" hidden="false" customHeight="true" outlineLevel="0" collapsed="false">
      <c r="A27" s="5" t="s">
        <v>664</v>
      </c>
    </row>
    <row r="28" customFormat="false" ht="15" hidden="false" customHeight="true" outlineLevel="0" collapsed="false">
      <c r="A28" s="5" t="s">
        <v>665</v>
      </c>
    </row>
    <row r="29" customFormat="false" ht="15" hidden="false" customHeight="true" outlineLevel="0" collapsed="false">
      <c r="A29" s="5" t="s">
        <v>666</v>
      </c>
    </row>
    <row r="30" customFormat="false" ht="15" hidden="false" customHeight="true" outlineLevel="0" collapsed="false">
      <c r="A30" s="5" t="s">
        <v>667</v>
      </c>
    </row>
    <row r="31" customFormat="false" ht="15" hidden="false" customHeight="true" outlineLevel="0" collapsed="false">
      <c r="A31" s="5" t="s">
        <v>668</v>
      </c>
    </row>
    <row r="32" customFormat="false" ht="15" hidden="false" customHeight="true" outlineLevel="0" collapsed="false">
      <c r="A32" s="5" t="s">
        <v>669</v>
      </c>
    </row>
    <row r="33" customFormat="false" ht="15" hidden="false" customHeight="true" outlineLevel="0" collapsed="false">
      <c r="A33" s="5" t="s">
        <v>599</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C4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29" min="1" style="1" width="15"/>
  </cols>
  <sheetData>
    <row r="1" customFormat="false" ht="15" hidden="false" customHeight="true" outlineLevel="0" collapsed="false">
      <c r="A1" s="4" t="s">
        <v>670</v>
      </c>
    </row>
    <row r="2" customFormat="false" ht="15" hidden="false" customHeight="true" outlineLevel="0" collapsed="false">
      <c r="A2" s="17" t="s">
        <v>671</v>
      </c>
    </row>
    <row r="3" customFormat="false" ht="75" hidden="false" customHeight="true" outlineLevel="0" collapsed="false">
      <c r="A3" s="8" t="s">
        <v>533</v>
      </c>
      <c r="B3" s="8" t="s">
        <v>672</v>
      </c>
      <c r="C3" s="8" t="s">
        <v>557</v>
      </c>
      <c r="D3" s="8" t="s">
        <v>603</v>
      </c>
      <c r="E3" s="8" t="s">
        <v>673</v>
      </c>
      <c r="F3" s="8" t="s">
        <v>605</v>
      </c>
      <c r="G3" s="8" t="s">
        <v>606</v>
      </c>
      <c r="H3" s="8" t="s">
        <v>607</v>
      </c>
      <c r="I3" s="8" t="s">
        <v>608</v>
      </c>
      <c r="J3" s="8" t="s">
        <v>560</v>
      </c>
      <c r="K3" s="8" t="s">
        <v>561</v>
      </c>
      <c r="L3" s="8" t="s">
        <v>534</v>
      </c>
      <c r="M3" s="8" t="s">
        <v>549</v>
      </c>
      <c r="N3" s="8" t="s">
        <v>536</v>
      </c>
      <c r="O3" s="8" t="s">
        <v>543</v>
      </c>
      <c r="P3" s="8" t="s">
        <v>609</v>
      </c>
      <c r="Q3" s="8" t="s">
        <v>610</v>
      </c>
      <c r="R3" s="8" t="s">
        <v>611</v>
      </c>
      <c r="S3" s="8" t="s">
        <v>612</v>
      </c>
      <c r="T3" s="8" t="s">
        <v>613</v>
      </c>
      <c r="U3" s="8" t="s">
        <v>614</v>
      </c>
      <c r="V3" s="8" t="s">
        <v>615</v>
      </c>
      <c r="W3" s="8" t="s">
        <v>616</v>
      </c>
      <c r="X3" s="8" t="s">
        <v>617</v>
      </c>
      <c r="Y3" s="8" t="s">
        <v>618</v>
      </c>
      <c r="Z3" s="8" t="s">
        <v>619</v>
      </c>
      <c r="AA3" s="8" t="s">
        <v>620</v>
      </c>
      <c r="AB3" s="8" t="s">
        <v>621</v>
      </c>
      <c r="AC3" s="8" t="s">
        <v>622</v>
      </c>
    </row>
    <row r="4" customFormat="false" ht="15" hidden="false" customHeight="true" outlineLevel="0" collapsed="false">
      <c r="A4" s="2" t="n">
        <v>2016</v>
      </c>
      <c r="B4" s="13" t="n">
        <f aca="false">INDEX(MAA!$Z$8:$Z$17,MATCH($A4,MAA!$A$8:$A$17,0))</f>
        <v>0.044516140398703</v>
      </c>
      <c r="C4" s="13" t="n">
        <f aca="false">INDEX(MAA!$Y$8:$Y$17,MATCH($A4,MAA!$A$8:$A$17,0))</f>
        <v>0.0245</v>
      </c>
      <c r="D4" s="13" t="n">
        <f aca="false">B4-C4</f>
        <v>0.020016140398703</v>
      </c>
      <c r="E4" s="13" t="n">
        <f aca="false">INDEX(MAA!$AA$8:$AA$17,MATCH($A4,MAA!$A$8:$A$17,0))</f>
        <v>0.0509558948872519</v>
      </c>
      <c r="F4" s="13" t="n">
        <f aca="false">E4-B4</f>
        <v>0.00643975448854894</v>
      </c>
      <c r="G4" s="13" t="n">
        <f aca="false">INDEX('Costar - US Multifamily'!$F$2:$F$34,MATCH($A4,'Costar - US Multifamily'!$A$2:$A$34,0))</f>
        <v>0.0661997473427734</v>
      </c>
      <c r="H4" s="13" t="n">
        <f aca="false">INDEX('Costar - US Multifamily'!$I$2:$I$34,MATCH($A4,'Costar - US Multifamily'!$A$2:$A$34,0))</f>
        <v>0.0275386662713405</v>
      </c>
      <c r="I4" s="13" t="n">
        <f aca="false">INDEX('Costar - US Multifamily'!$C$2:$C$34,MATCH($A4,'Costar - US Multifamily'!$A$2:$A$34,0))/INDEX('Costar - US Multifamily'!$B$2:$B$34,MATCH($A4,'Costar - US Multifamily'!$A$2:$A$34,0))</f>
        <v>0.0205364859117959</v>
      </c>
      <c r="J4" s="18" t="n">
        <f aca="false">INDEX(MAA!$AB$8:$AB$17,MATCH($A4,MAA!$A$8:$A$17,0))</f>
        <v>22.4637623801981</v>
      </c>
      <c r="K4" s="18" t="n">
        <f aca="false">INDEX(MAA!$AC$8:$AC$17,MATCH($A4,MAA!$A$8:$A$17,0))</f>
        <v>19.6248147974373</v>
      </c>
      <c r="L4" s="9" t="n">
        <f aca="false">INDEX(MAA!$B$8:$B$17,MATCH($A4,MAA!$A$8:$A$17,0))</f>
        <v>701.992</v>
      </c>
      <c r="M4" s="9" t="n">
        <f aca="false">INDEX(MAA!$Q$8:$Q$17,MATCH($A4,MAA!$A$8:$A$17,0))</f>
        <v>15769.3814808</v>
      </c>
      <c r="N4" s="9" t="n">
        <f aca="false">INDEX(MAA!$D$8:$D$17,MATCH($A4,MAA!$A$8:$A$17,0))</f>
        <v>572.045</v>
      </c>
      <c r="O4" s="9" t="n">
        <f aca="false">INDEX(MAA!$K$8:$K$17,MATCH($A4,MAA!$A$8:$A$17,0))</f>
        <v>11226.2771808</v>
      </c>
      <c r="P4" s="13" t="n">
        <f aca="false">INDEX('Prime Rate'!$B$2:$B$13,MATCH($A4,'Prime Rate'!$A$2:$A$13,0))/100</f>
        <v>0.0351</v>
      </c>
      <c r="Q4" s="9" t="n">
        <f aca="false">M4-L4</f>
        <v>15067.3894808</v>
      </c>
      <c r="R4" s="9" t="n">
        <f aca="false">O4-N4</f>
        <v>10654.2321808</v>
      </c>
      <c r="S4" s="13" t="n">
        <f aca="false">INDEX(Inflation!$G$4:$G$21,MATCH($A4,Inflation!$A$4:$A$21,0))</f>
        <v>0.0126707791495431</v>
      </c>
      <c r="T4" s="13" t="n">
        <f aca="false">INDEX('Green Street National'!$D$4:$D$18,MATCH($A4,'Green Street National'!$A$4:$A$18,0))</f>
        <v>0.04852258</v>
      </c>
      <c r="U4" s="18" t="n">
        <f aca="false">INDEX('Green Street National'!$F$4:$F$18,MATCH($A4,'Green Street National'!$A$4:$A$18,0))</f>
        <v>100</v>
      </c>
      <c r="V4" s="18" t="n">
        <f aca="false">INDEX(Inflation!$D$4:$D$21,MATCH($A4,Inflation!$A$4:$A$21,0))</f>
        <v>100</v>
      </c>
      <c r="W4" s="18" t="n">
        <f aca="false">INDEX(Inflation!$E$4:$E$21,MATCH($A4,Inflation!$A$4:$A$21,0))</f>
        <v>100</v>
      </c>
      <c r="X4" s="18" t="n">
        <f aca="false">INDEX('Costar - US Multifamily'!$H$2:$H$34,MATCH($A4,'Costar - US Multifamily'!$A$2:$A$34,0))/INDEX('Costar - US Multifamily'!$H$2:$H$34,MATCH(2016,'Costar - US Multifamily'!$A$2:$A$34,0))*100</f>
        <v>100</v>
      </c>
      <c r="Y4" s="13" t="n">
        <f aca="false">INDEX('Green Street National'!$C$4:$C$18,MATCH($A4,'Green Street National'!$A$4:$A$18,0))</f>
        <v>0.01663905</v>
      </c>
      <c r="Z4" s="13" t="n">
        <f aca="false">INDEX('Costar - US Multifamily'!$F$2:$F$34,MATCH($A4-1,'Costar - US Multifamily'!$A$2:$A$34,0))-INDEX('Costar - US Multifamily'!$F$2:$F$34,MATCH($A4,'Costar - US Multifamily'!$A$2:$A$34,0))</f>
        <v>-0.0032131800575991</v>
      </c>
      <c r="AA4" s="9" t="n">
        <f aca="false">INDEX('Costar - US Multifamily'!$H$2:$H$34,MATCH($A4,'Costar - US Multifamily'!$A$2:$A$34,0))</f>
        <v>1376.36653028372</v>
      </c>
      <c r="AB4" s="19" t="n">
        <f aca="false">1-INDEX('Costar - US Multifamily'!$F$2:$F$34,MATCH($A4,'Costar - US Multifamily'!$A$2:$A$34,0))</f>
        <v>0.933800252657227</v>
      </c>
      <c r="AC4" s="18" t="n">
        <f aca="false">100</f>
        <v>100</v>
      </c>
    </row>
    <row r="5" customFormat="false" ht="15" hidden="false" customHeight="true" outlineLevel="0" collapsed="false">
      <c r="A5" s="2" t="n">
        <v>2017</v>
      </c>
      <c r="B5" s="13" t="n">
        <f aca="false">INDEX(MAA!$Z$8:$Z$17,MATCH($A5,MAA!$A$8:$A$17,0))</f>
        <v>0.0587058809995667</v>
      </c>
      <c r="C5" s="13" t="n">
        <f aca="false">INDEX(MAA!$Y$8:$Y$17,MATCH($A5,MAA!$A$8:$A$17,0))</f>
        <v>0.024</v>
      </c>
      <c r="D5" s="13" t="n">
        <f aca="false">B5-C5</f>
        <v>0.0347058809995666</v>
      </c>
      <c r="E5" s="13" t="n">
        <f aca="false">INDEX(MAA!$AA$8:$AA$17,MATCH($A5,MAA!$A$8:$A$17,0))</f>
        <v>0.0683067629391505</v>
      </c>
      <c r="F5" s="13" t="n">
        <f aca="false">E5-B5</f>
        <v>0.00960088193958383</v>
      </c>
      <c r="G5" s="13" t="n">
        <f aca="false">INDEX('Costar - US Multifamily'!$F$2:$F$34,MATCH($A5,'Costar - US Multifamily'!$A$2:$A$34,0))</f>
        <v>0.0682590756692329</v>
      </c>
      <c r="H5" s="13" t="n">
        <f aca="false">INDEX('Costar - US Multifamily'!$I$2:$I$34,MATCH($A5,'Costar - US Multifamily'!$A$2:$A$34,0))</f>
        <v>0.0270137577423179</v>
      </c>
      <c r="I5" s="13" t="n">
        <f aca="false">INDEX('Costar - US Multifamily'!$C$2:$C$34,MATCH($A5,'Costar - US Multifamily'!$A$2:$A$34,0))/INDEX('Costar - US Multifamily'!$B$2:$B$34,MATCH($A5,'Costar - US Multifamily'!$A$2:$A$34,0))</f>
        <v>0.0224537348225863</v>
      </c>
      <c r="J5" s="18" t="n">
        <f aca="false">INDEX(MAA!$AB$8:$AB$17,MATCH($A5,MAA!$A$8:$A$17,0))</f>
        <v>17.034068528967</v>
      </c>
      <c r="K5" s="18" t="n">
        <f aca="false">INDEX(MAA!$AC$8:$AC$17,MATCH($A5,MAA!$A$8:$A$17,0))</f>
        <v>14.6398388237315</v>
      </c>
      <c r="L5" s="9" t="n">
        <f aca="false">INDEX(MAA!$B$8:$B$17,MATCH($A5,MAA!$A$8:$A$17,0))</f>
        <v>952.256</v>
      </c>
      <c r="M5" s="9" t="n">
        <f aca="false">INDEX(MAA!$Q$8:$Q$17,MATCH($A5,MAA!$A$8:$A$17,0))</f>
        <v>16220.79396112</v>
      </c>
      <c r="N5" s="9" t="n">
        <f aca="false">INDEX(MAA!$D$8:$D$17,MATCH($A5,MAA!$A$8:$A$17,0))</f>
        <v>797.505</v>
      </c>
      <c r="O5" s="9" t="n">
        <f aca="false">INDEX(MAA!$K$8:$K$17,MATCH($A5,MAA!$A$8:$A$17,0))</f>
        <v>11675.34466112</v>
      </c>
      <c r="P5" s="13" t="n">
        <f aca="false">INDEX('Prime Rate'!$B$2:$B$13,MATCH($A5,'Prime Rate'!$A$2:$A$13,0))/100</f>
        <v>0.041</v>
      </c>
      <c r="Q5" s="9" t="n">
        <f aca="false">M5-L5</f>
        <v>15268.53796112</v>
      </c>
      <c r="R5" s="9" t="n">
        <f aca="false">O5-N5</f>
        <v>10877.83966112</v>
      </c>
      <c r="S5" s="13" t="n">
        <f aca="false">INDEX(Inflation!$G$4:$G$21,MATCH($A5,Inflation!$A$4:$A$21,0))</f>
        <v>0.0213162225786963</v>
      </c>
      <c r="T5" s="13" t="n">
        <f aca="false">INDEX('Green Street National'!$D$4:$D$18,MATCH($A5,'Green Street National'!$A$4:$A$18,0))</f>
        <v>0.0501092</v>
      </c>
      <c r="U5" s="18" t="n">
        <f aca="false">INDEX('Green Street National'!$F$4:$F$18,MATCH($A5,'Green Street National'!$A$4:$A$18,0))</f>
        <v>99.9419598056238</v>
      </c>
      <c r="V5" s="18" t="n">
        <f aca="false">INDEX(Inflation!$D$4:$D$21,MATCH($A5,Inflation!$A$4:$A$21,0))</f>
        <v>102.196167016261</v>
      </c>
      <c r="W5" s="18" t="n">
        <f aca="false">INDEX(Inflation!$E$4:$E$21,MATCH($A5,Inflation!$A$4:$A$21,0))</f>
        <v>102.13162225787</v>
      </c>
      <c r="X5" s="18" t="n">
        <f aca="false">INDEX('Costar - US Multifamily'!$H$2:$H$34,MATCH($A5,'Costar - US Multifamily'!$A$2:$A$34,0))/INDEX('Costar - US Multifamily'!$H$2:$H$34,MATCH(2016,'Costar - US Multifamily'!$A$2:$A$34,0))*100</f>
        <v>102.701375774232</v>
      </c>
      <c r="Y5" s="13" t="n">
        <f aca="false">INDEX('Green Street National'!$C$4:$C$18,MATCH($A5,'Green Street National'!$A$4:$A$18,0))</f>
        <v>0.0191307</v>
      </c>
      <c r="Z5" s="13" t="n">
        <f aca="false">INDEX('Costar - US Multifamily'!$F$2:$F$34,MATCH($A5-1,'Costar - US Multifamily'!$A$2:$A$34,0))-INDEX('Costar - US Multifamily'!$F$2:$F$34,MATCH($A5,'Costar - US Multifamily'!$A$2:$A$34,0))</f>
        <v>-0.0020593283264595</v>
      </c>
      <c r="AA5" s="9" t="n">
        <f aca="false">INDEX('Costar - US Multifamily'!$H$2:$H$34,MATCH($A5,'Costar - US Multifamily'!$A$2:$A$34,0))</f>
        <v>1413.54736229744</v>
      </c>
      <c r="AB5" s="19" t="n">
        <f aca="false">1-INDEX('Costar - US Multifamily'!$F$2:$F$34,MATCH($A5,'Costar - US Multifamily'!$A$2:$A$34,0))</f>
        <v>0.931740924330767</v>
      </c>
      <c r="AC5" s="18" t="n">
        <f aca="false">AC4*(1+Y5)</f>
        <v>101.91307</v>
      </c>
    </row>
    <row r="6" customFormat="false" ht="15" hidden="false" customHeight="true" outlineLevel="0" collapsed="false">
      <c r="A6" s="2" t="n">
        <v>2018</v>
      </c>
      <c r="B6" s="13" t="n">
        <f aca="false">INDEX(MAA!$Z$8:$Z$17,MATCH($A6,MAA!$A$8:$A$17,0))</f>
        <v>0.0620466945737261</v>
      </c>
      <c r="C6" s="13" t="n">
        <f aca="false">INDEX(MAA!$Y$8:$Y$17,MATCH($A6,MAA!$A$8:$A$17,0))</f>
        <v>0.0269</v>
      </c>
      <c r="D6" s="13" t="n">
        <f aca="false">B6-C6</f>
        <v>0.0351466945737261</v>
      </c>
      <c r="E6" s="13" t="n">
        <f aca="false">INDEX(MAA!$AA$8:$AA$17,MATCH($A6,MAA!$A$8:$A$17,0))</f>
        <v>0.071899905890206</v>
      </c>
      <c r="F6" s="13" t="n">
        <f aca="false">E6-B6</f>
        <v>0.00985321131647991</v>
      </c>
      <c r="G6" s="13" t="n">
        <f aca="false">INDEX('Costar - US Multifamily'!$F$2:$F$34,MATCH($A6,'Costar - US Multifamily'!$A$2:$A$34,0))</f>
        <v>0.0657917059913334</v>
      </c>
      <c r="H6" s="13" t="n">
        <f aca="false">INDEX('Costar - US Multifamily'!$I$2:$I$34,MATCH($A6,'Costar - US Multifamily'!$A$2:$A$34,0))</f>
        <v>0.0295746844416102</v>
      </c>
      <c r="I6" s="13" t="n">
        <f aca="false">INDEX('Costar - US Multifamily'!$C$2:$C$34,MATCH($A6,'Costar - US Multifamily'!$A$2:$A$34,0))/INDEX('Costar - US Multifamily'!$B$2:$B$34,MATCH($A6,'Costar - US Multifamily'!$A$2:$A$34,0))</f>
        <v>0.0215124978650679</v>
      </c>
      <c r="J6" s="18" t="n">
        <f aca="false">INDEX(MAA!$AB$8:$AB$17,MATCH($A6,MAA!$A$8:$A$17,0))</f>
        <v>16.1168940081371</v>
      </c>
      <c r="K6" s="18" t="n">
        <f aca="false">INDEX(MAA!$AC$8:$AC$17,MATCH($A6,MAA!$A$8:$A$17,0))</f>
        <v>13.9082240458985</v>
      </c>
      <c r="L6" s="9" t="n">
        <f aca="false">INDEX(MAA!$B$8:$B$17,MATCH($A6,MAA!$A$8:$A$17,0))</f>
        <v>976.758</v>
      </c>
      <c r="M6" s="9" t="n">
        <f aca="false">INDEX(MAA!$Q$8:$Q$17,MATCH($A6,MAA!$A$8:$A$17,0))</f>
        <v>15742.3051576</v>
      </c>
      <c r="N6" s="9" t="n">
        <f aca="false">INDEX(MAA!$D$8:$D$17,MATCH($A6,MAA!$A$8:$A$17,0))</f>
        <v>803.164</v>
      </c>
      <c r="O6" s="9" t="n">
        <f aca="false">INDEX(MAA!$K$8:$K$17,MATCH($A6,MAA!$A$8:$A$17,0))</f>
        <v>11170.5848576</v>
      </c>
      <c r="P6" s="13" t="n">
        <f aca="false">INDEX('Prime Rate'!$B$2:$B$13,MATCH($A6,'Prime Rate'!$A$2:$A$13,0))/100</f>
        <v>0.049</v>
      </c>
      <c r="Q6" s="9" t="n">
        <f aca="false">M6-L6</f>
        <v>14765.5471576</v>
      </c>
      <c r="R6" s="9" t="n">
        <f aca="false">O6-N6</f>
        <v>10367.4208576</v>
      </c>
      <c r="S6" s="13" t="n">
        <f aca="false">INDEX(Inflation!$G$4:$G$21,MATCH($A6,Inflation!$A$4:$A$21,0))</f>
        <v>0.0243920349541655</v>
      </c>
      <c r="T6" s="13" t="n">
        <f aca="false">INDEX('Green Street National'!$D$4:$D$18,MATCH($A6,'Green Street National'!$A$4:$A$18,0))</f>
        <v>0.04923149</v>
      </c>
      <c r="U6" s="18" t="n">
        <f aca="false">INDEX('Green Street National'!$F$4:$F$18,MATCH($A6,'Green Street National'!$A$4:$A$18,0))</f>
        <v>105.350134707176</v>
      </c>
      <c r="V6" s="18" t="n">
        <f aca="false">INDEX(Inflation!$D$4:$D$21,MATCH($A6,Inflation!$A$4:$A$21,0))</f>
        <v>106.491690421126</v>
      </c>
      <c r="W6" s="18" t="n">
        <f aca="false">INDEX(Inflation!$E$4:$E$21,MATCH($A6,Inflation!$A$4:$A$21,0))</f>
        <v>104.622820357909</v>
      </c>
      <c r="X6" s="18" t="n">
        <f aca="false">INDEX('Costar - US Multifamily'!$H$2:$H$34,MATCH($A6,'Costar - US Multifamily'!$A$2:$A$34,0))/INDEX('Costar - US Multifamily'!$H$2:$H$34,MATCH(2016,'Costar - US Multifamily'!$A$2:$A$34,0))*100</f>
        <v>105.738736554474</v>
      </c>
      <c r="Y6" s="13" t="n">
        <f aca="false">INDEX('Green Street National'!$C$4:$C$18,MATCH($A6,'Green Street National'!$A$4:$A$18,0))</f>
        <v>0.03557689</v>
      </c>
      <c r="Z6" s="13" t="n">
        <f aca="false">INDEX('Costar - US Multifamily'!$F$2:$F$34,MATCH($A6-1,'Costar - US Multifamily'!$A$2:$A$34,0))-INDEX('Costar - US Multifamily'!$F$2:$F$34,MATCH($A6,'Costar - US Multifamily'!$A$2:$A$34,0))</f>
        <v>0.0024673696778995</v>
      </c>
      <c r="AA6" s="9" t="n">
        <f aca="false">INDEX('Costar - US Multifamily'!$H$2:$H$34,MATCH($A6,'Costar - US Multifamily'!$A$2:$A$34,0))</f>
        <v>1455.35257948066</v>
      </c>
      <c r="AB6" s="19" t="n">
        <f aca="false">1-INDEX('Costar - US Multifamily'!$F$2:$F$34,MATCH($A6,'Costar - US Multifamily'!$A$2:$A$34,0))</f>
        <v>0.934208294008667</v>
      </c>
      <c r="AC6" s="18" t="n">
        <f aca="false">AC5*(1+Y6)</f>
        <v>105.538820080952</v>
      </c>
    </row>
    <row r="7" customFormat="false" ht="15" hidden="false" customHeight="true" outlineLevel="0" collapsed="false">
      <c r="A7" s="2" t="n">
        <v>2019</v>
      </c>
      <c r="B7" s="13" t="n">
        <f aca="false">INDEX(MAA!$Z$8:$Z$17,MATCH($A7,MAA!$A$8:$A$17,0))</f>
        <v>0.0515430106556146</v>
      </c>
      <c r="C7" s="13" t="n">
        <f aca="false">INDEX(MAA!$Y$8:$Y$17,MATCH($A7,MAA!$A$8:$A$17,0))</f>
        <v>0.0192</v>
      </c>
      <c r="D7" s="13" t="n">
        <f aca="false">B7-C7</f>
        <v>0.0323430106556146</v>
      </c>
      <c r="E7" s="13" t="n">
        <f aca="false">INDEX(MAA!$AA$8:$AA$17,MATCH($A7,MAA!$A$8:$A$17,0))</f>
        <v>0.0549082825075589</v>
      </c>
      <c r="F7" s="13" t="n">
        <f aca="false">E7-B7</f>
        <v>0.00336527185194424</v>
      </c>
      <c r="G7" s="13" t="n">
        <f aca="false">INDEX('Costar - US Multifamily'!$F$2:$F$34,MATCH($A7,'Costar - US Multifamily'!$A$2:$A$34,0))</f>
        <v>0.0660913728926952</v>
      </c>
      <c r="H7" s="13" t="n">
        <f aca="false">INDEX('Costar - US Multifamily'!$I$2:$I$34,MATCH($A7,'Costar - US Multifamily'!$A$2:$A$34,0))</f>
        <v>0.0255336196070635</v>
      </c>
      <c r="I7" s="13" t="n">
        <f aca="false">INDEX('Costar - US Multifamily'!$C$2:$C$34,MATCH($A7,'Costar - US Multifamily'!$A$2:$A$34,0))/INDEX('Costar - US Multifamily'!$B$2:$B$34,MATCH($A7,'Costar - US Multifamily'!$A$2:$A$34,0))</f>
        <v>0.0212600170808678</v>
      </c>
      <c r="J7" s="18" t="n">
        <f aca="false">INDEX(MAA!$AB$8:$AB$17,MATCH($A7,MAA!$A$8:$A$17,0))</f>
        <v>19.4012725931264</v>
      </c>
      <c r="K7" s="18" t="n">
        <f aca="false">INDEX(MAA!$AC$8:$AC$17,MATCH($A7,MAA!$A$8:$A$17,0))</f>
        <v>18.2121886595585</v>
      </c>
      <c r="L7" s="9" t="n">
        <f aca="false">INDEX(MAA!$B$8:$B$17,MATCH($A7,MAA!$A$8:$A$17,0))</f>
        <v>1028.172</v>
      </c>
      <c r="M7" s="9" t="n">
        <f aca="false">INDEX(MAA!$Q$8:$Q$17,MATCH($A7,MAA!$A$8:$A$17,0))</f>
        <v>19947.84524462</v>
      </c>
      <c r="N7" s="9" t="n">
        <f aca="false">INDEX(MAA!$D$8:$D$17,MATCH($A7,MAA!$A$8:$A$17,0))</f>
        <v>848.325</v>
      </c>
      <c r="O7" s="9" t="n">
        <f aca="false">INDEX(MAA!$K$8:$K$17,MATCH($A7,MAA!$A$8:$A$17,0))</f>
        <v>15449.85494462</v>
      </c>
      <c r="P7" s="13" t="n">
        <f aca="false">INDEX('Prime Rate'!$B$2:$B$13,MATCH($A7,'Prime Rate'!$A$2:$A$13,0))/100</f>
        <v>0.0528</v>
      </c>
      <c r="Q7" s="9" t="n">
        <f aca="false">M7-L7</f>
        <v>18919.67324462</v>
      </c>
      <c r="R7" s="9" t="n">
        <f aca="false">O7-N7</f>
        <v>14601.52994462</v>
      </c>
      <c r="S7" s="13" t="n">
        <f aca="false">INDEX(Inflation!$G$4:$G$21,MATCH($A7,Inflation!$A$4:$A$21,0))</f>
        <v>0.0181322182397452</v>
      </c>
      <c r="T7" s="13" t="n">
        <f aca="false">INDEX('Green Street National'!$D$4:$D$18,MATCH($A7,'Green Street National'!$A$4:$A$18,0))</f>
        <v>0.0475775</v>
      </c>
      <c r="U7" s="18" t="n">
        <f aca="false">INDEX('Green Street National'!$F$4:$F$18,MATCH($A7,'Green Street National'!$A$4:$A$18,0))</f>
        <v>111.012161577111</v>
      </c>
      <c r="V7" s="18" t="n">
        <f aca="false">INDEX(Inflation!$D$4:$D$21,MATCH($A7,Inflation!$A$4:$A$21,0))</f>
        <v>111.952526936661</v>
      </c>
      <c r="W7" s="18" t="n">
        <f aca="false">INDEX(Inflation!$E$4:$E$21,MATCH($A7,Inflation!$A$4:$A$21,0))</f>
        <v>106.519864169496</v>
      </c>
      <c r="X7" s="18" t="n">
        <f aca="false">INDEX('Costar - US Multifamily'!$H$2:$H$34,MATCH($A7,'Costar - US Multifamily'!$A$2:$A$34,0))/INDEX('Costar - US Multifamily'!$H$2:$H$34,MATCH(2016,'Costar - US Multifamily'!$A$2:$A$34,0))*100</f>
        <v>108.438629231387</v>
      </c>
      <c r="Y7" s="13" t="n">
        <f aca="false">INDEX('Green Street National'!$C$4:$C$18,MATCH($A7,'Green Street National'!$A$4:$A$18,0))</f>
        <v>0.02837623</v>
      </c>
      <c r="Z7" s="13" t="n">
        <f aca="false">INDEX('Costar - US Multifamily'!$F$2:$F$34,MATCH($A7-1,'Costar - US Multifamily'!$A$2:$A$34,0))-INDEX('Costar - US Multifamily'!$F$2:$F$34,MATCH($A7,'Costar - US Multifamily'!$A$2:$A$34,0))</f>
        <v>-0.000299666901361809</v>
      </c>
      <c r="AA7" s="9" t="n">
        <f aca="false">INDEX('Costar - US Multifamily'!$H$2:$H$34,MATCH($A7,'Costar - US Multifamily'!$A$2:$A$34,0))</f>
        <v>1492.51299863927</v>
      </c>
      <c r="AB7" s="19" t="n">
        <f aca="false">1-INDEX('Costar - US Multifamily'!$F$2:$F$34,MATCH($A7,'Costar - US Multifamily'!$A$2:$A$34,0))</f>
        <v>0.933908627107305</v>
      </c>
      <c r="AC7" s="18" t="n">
        <f aca="false">AC6*(1+Y7)</f>
        <v>108.533613913498</v>
      </c>
    </row>
    <row r="8" customFormat="false" ht="15" hidden="false" customHeight="true" outlineLevel="0" collapsed="false">
      <c r="A8" s="2" t="n">
        <v>2020</v>
      </c>
      <c r="B8" s="13" t="n">
        <f aca="false">INDEX(MAA!$Z$8:$Z$17,MATCH($A8,MAA!$A$8:$A$17,0))</f>
        <v>0.0538528399502225</v>
      </c>
      <c r="C8" s="13" t="n">
        <f aca="false">INDEX(MAA!$Y$8:$Y$17,MATCH($A8,MAA!$A$8:$A$17,0))</f>
        <v>0.0093</v>
      </c>
      <c r="D8" s="13" t="n">
        <f aca="false">B8-C8</f>
        <v>0.0445528399502225</v>
      </c>
      <c r="E8" s="13" t="n">
        <f aca="false">INDEX(MAA!$AA$8:$AA$17,MATCH($A8,MAA!$A$8:$A$17,0))</f>
        <v>0.0593434254004972</v>
      </c>
      <c r="F8" s="13" t="n">
        <f aca="false">E8-B8</f>
        <v>0.00549058545027473</v>
      </c>
      <c r="G8" s="13" t="n">
        <f aca="false">INDEX('Costar - US Multifamily'!$F$2:$F$34,MATCH($A8,'Costar - US Multifamily'!$A$2:$A$34,0))</f>
        <v>0.0677560986856392</v>
      </c>
      <c r="H8" s="13" t="n">
        <f aca="false">INDEX('Costar - US Multifamily'!$I$2:$I$34,MATCH($A8,'Costar - US Multifamily'!$A$2:$A$34,0))</f>
        <v>0.0150876939891963</v>
      </c>
      <c r="I8" s="13" t="n">
        <f aca="false">INDEX('Costar - US Multifamily'!$C$2:$C$34,MATCH($A8,'Costar - US Multifamily'!$A$2:$A$34,0))/INDEX('Costar - US Multifamily'!$B$2:$B$34,MATCH($A8,'Costar - US Multifamily'!$A$2:$A$34,0))</f>
        <v>0.0253586058325992</v>
      </c>
      <c r="J8" s="18" t="n">
        <f aca="false">INDEX(MAA!$AB$8:$AB$17,MATCH($A8,MAA!$A$8:$A$17,0))</f>
        <v>18.569122834085</v>
      </c>
      <c r="K8" s="18" t="n">
        <f aca="false">INDEX(MAA!$AC$8:$AC$17,MATCH($A8,MAA!$A$8:$A$17,0))</f>
        <v>16.8510663692093</v>
      </c>
      <c r="L8" s="9" t="n">
        <f aca="false">INDEX(MAA!$B$8:$B$17,MATCH($A8,MAA!$A$8:$A$17,0))</f>
        <v>1037.513</v>
      </c>
      <c r="M8" s="9" t="n">
        <f aca="false">INDEX(MAA!$Q$8:$Q$17,MATCH($A8,MAA!$A$8:$A$17,0))</f>
        <v>19265.70633896</v>
      </c>
      <c r="N8" s="9" t="n">
        <f aca="false">INDEX(MAA!$D$8:$D$17,MATCH($A8,MAA!$A$8:$A$17,0))</f>
        <v>869.951</v>
      </c>
      <c r="O8" s="9" t="n">
        <f aca="false">INDEX(MAA!$K$8:$K$17,MATCH($A8,MAA!$A$8:$A$17,0))</f>
        <v>14659.60203896</v>
      </c>
      <c r="P8" s="13" t="n">
        <f aca="false">INDEX('Prime Rate'!$B$2:$B$13,MATCH($A8,'Prime Rate'!$A$2:$A$13,0))/100</f>
        <v>0.0354</v>
      </c>
      <c r="Q8" s="9" t="n">
        <f aca="false">M8-L8</f>
        <v>18228.19333896</v>
      </c>
      <c r="R8" s="9" t="n">
        <f aca="false">O8-N8</f>
        <v>13789.65103896</v>
      </c>
      <c r="S8" s="13" t="n">
        <f aca="false">INDEX(Inflation!$G$4:$G$21,MATCH($A8,Inflation!$A$4:$A$21,0))</f>
        <v>0.0125287010127009</v>
      </c>
      <c r="T8" s="13" t="n">
        <f aca="false">INDEX('Green Street National'!$D$4:$D$18,MATCH($A8,'Green Street National'!$A$4:$A$18,0))</f>
        <v>0.04376953</v>
      </c>
      <c r="U8" s="18" t="n">
        <f aca="false">INDEX('Green Street National'!$F$4:$F$18,MATCH($A8,'Green Street National'!$A$4:$A$18,0))</f>
        <v>112.840426236934</v>
      </c>
      <c r="V8" s="18" t="n">
        <f aca="false">INDEX(Inflation!$D$4:$D$21,MATCH($A8,Inflation!$A$4:$A$21,0))</f>
        <v>114.716111798347</v>
      </c>
      <c r="W8" s="18" t="n">
        <f aca="false">INDEX(Inflation!$E$4:$E$21,MATCH($A8,Inflation!$A$4:$A$21,0))</f>
        <v>107.85441969959</v>
      </c>
      <c r="X8" s="18" t="n">
        <f aca="false">INDEX('Costar - US Multifamily'!$H$2:$H$34,MATCH($A8,'Costar - US Multifamily'!$A$2:$A$34,0))/INDEX('Costar - US Multifamily'!$H$2:$H$34,MATCH(2016,'Costar - US Multifamily'!$A$2:$A$34,0))*100</f>
        <v>110.074718085838</v>
      </c>
      <c r="Y8" s="13" t="n">
        <f aca="false">INDEX('Green Street National'!$C$4:$C$18,MATCH($A8,'Green Street National'!$A$4:$A$18,0))</f>
        <v>-0.01726645</v>
      </c>
      <c r="Z8" s="13" t="n">
        <f aca="false">INDEX('Costar - US Multifamily'!$F$2:$F$34,MATCH($A8-1,'Costar - US Multifamily'!$A$2:$A$34,0))-INDEX('Costar - US Multifamily'!$F$2:$F$34,MATCH($A8,'Costar - US Multifamily'!$A$2:$A$34,0))</f>
        <v>-0.00166472579294399</v>
      </c>
      <c r="AA8" s="9" t="n">
        <f aca="false">INDEX('Costar - US Multifamily'!$H$2:$H$34,MATCH($A8,'Costar - US Multifamily'!$A$2:$A$34,0))</f>
        <v>1515.03157803764</v>
      </c>
      <c r="AB8" s="19" t="n">
        <f aca="false">1-INDEX('Costar - US Multifamily'!$F$2:$F$34,MATCH($A8,'Costar - US Multifamily'!$A$2:$A$34,0))</f>
        <v>0.932243901314361</v>
      </c>
      <c r="AC8" s="18" t="n">
        <f aca="false">AC7*(1+Y8)</f>
        <v>106.659623695541</v>
      </c>
    </row>
    <row r="9" customFormat="false" ht="15" hidden="false" customHeight="true" outlineLevel="0" collapsed="false">
      <c r="A9" s="2" t="n">
        <v>2021</v>
      </c>
      <c r="B9" s="13" t="n">
        <f aca="false">INDEX(MAA!$Z$8:$Z$17,MATCH($A9,MAA!$A$8:$A$17,0))</f>
        <v>0.0351551750648325</v>
      </c>
      <c r="C9" s="13" t="n">
        <f aca="false">INDEX(MAA!$Y$8:$Y$17,MATCH($A9,MAA!$A$8:$A$17,0))</f>
        <v>0.0152</v>
      </c>
      <c r="D9" s="13" t="n">
        <f aca="false">B9-C9</f>
        <v>0.0199551750648325</v>
      </c>
      <c r="E9" s="13" t="n">
        <f aca="false">INDEX(MAA!$AA$8:$AA$17,MATCH($A9,MAA!$A$8:$A$17,0))</f>
        <v>0.0352825398941794</v>
      </c>
      <c r="F9" s="13" t="n">
        <f aca="false">E9-B9</f>
        <v>0.000127364829346839</v>
      </c>
      <c r="G9" s="13" t="n">
        <f aca="false">INDEX('Costar - US Multifamily'!$F$2:$F$34,MATCH($A9,'Costar - US Multifamily'!$A$2:$A$34,0))</f>
        <v>0.0511618903179478</v>
      </c>
      <c r="H9" s="13" t="n">
        <f aca="false">INDEX('Costar - US Multifamily'!$I$2:$I$34,MATCH($A9,'Costar - US Multifamily'!$A$2:$A$34,0))</f>
        <v>0.0881649323336352</v>
      </c>
      <c r="I9" s="13" t="n">
        <f aca="false">INDEX('Costar - US Multifamily'!$C$2:$C$34,MATCH($A9,'Costar - US Multifamily'!$A$2:$A$34,0))/INDEX('Costar - US Multifamily'!$B$2:$B$34,MATCH($A9,'Costar - US Multifamily'!$A$2:$A$34,0))</f>
        <v>0.022677567628092</v>
      </c>
      <c r="J9" s="18" t="n">
        <f aca="false">INDEX(MAA!$AB$8:$AB$17,MATCH($A9,MAA!$A$8:$A$17,0))</f>
        <v>28.4453141864837</v>
      </c>
      <c r="K9" s="18" t="n">
        <f aca="false">INDEX(MAA!$AC$8:$AC$17,MATCH($A9,MAA!$A$8:$A$17,0))</f>
        <v>28.3426307459507</v>
      </c>
      <c r="L9" s="9" t="n">
        <f aca="false">INDEX(MAA!$B$8:$B$17,MATCH($A9,MAA!$A$8:$A$17,0))</f>
        <v>1106.917</v>
      </c>
      <c r="M9" s="9" t="n">
        <f aca="false">INDEX(MAA!$Q$8:$Q$17,MATCH($A9,MAA!$A$8:$A$17,0))</f>
        <v>31486.60184336</v>
      </c>
      <c r="N9" s="9" t="n">
        <f aca="false">INDEX(MAA!$D$8:$D$17,MATCH($A9,MAA!$A$8:$A$17,0))</f>
        <v>950.036</v>
      </c>
      <c r="O9" s="9" t="n">
        <f aca="false">INDEX(MAA!$K$8:$K$17,MATCH($A9,MAA!$A$8:$A$17,0))</f>
        <v>26926.51954336</v>
      </c>
      <c r="P9" s="13" t="n">
        <f aca="false">INDEX('Prime Rate'!$B$2:$B$13,MATCH($A9,'Prime Rate'!$A$2:$A$13,0))/100</f>
        <v>0.0325</v>
      </c>
      <c r="Q9" s="9" t="n">
        <f aca="false">M9-L9</f>
        <v>30379.68484336</v>
      </c>
      <c r="R9" s="9" t="n">
        <f aca="false">O9-N9</f>
        <v>25976.48354336</v>
      </c>
      <c r="S9" s="13" t="n">
        <f aca="false">INDEX(Inflation!$G$4:$G$21,MATCH($A9,Inflation!$A$4:$A$21,0))</f>
        <v>0.0468098093148315</v>
      </c>
      <c r="T9" s="13" t="n">
        <f aca="false">INDEX('Green Street National'!$D$4:$D$18,MATCH($A9,'Green Street National'!$A$4:$A$18,0))</f>
        <v>0.03788439</v>
      </c>
      <c r="U9" s="18" t="n">
        <f aca="false">INDEX('Green Street National'!$F$4:$F$18,MATCH($A9,'Green Street National'!$A$4:$A$18,0))</f>
        <v>148.305287254741</v>
      </c>
      <c r="V9" s="18" t="n">
        <f aca="false">INDEX(Inflation!$D$4:$D$21,MATCH($A9,Inflation!$A$4:$A$21,0))</f>
        <v>120.671758188566</v>
      </c>
      <c r="W9" s="18" t="n">
        <f aca="false">INDEX(Inflation!$E$4:$E$21,MATCH($A9,Inflation!$A$4:$A$21,0))</f>
        <v>112.903064519489</v>
      </c>
      <c r="X9" s="18" t="n">
        <f aca="false">INDEX('Costar - US Multifamily'!$H$2:$H$34,MATCH($A9,'Costar - US Multifamily'!$A$2:$A$34,0))/INDEX('Costar - US Multifamily'!$H$2:$H$34,MATCH(2016,'Costar - US Multifamily'!$A$2:$A$34,0))*100</f>
        <v>119.77944815752</v>
      </c>
      <c r="Y9" s="13" t="n">
        <f aca="false">INDEX('Green Street National'!$C$4:$C$18,MATCH($A9,'Green Street National'!$A$4:$A$18,0))</f>
        <v>0.15341472</v>
      </c>
      <c r="Z9" s="13" t="n">
        <f aca="false">INDEX('Costar - US Multifamily'!$F$2:$F$34,MATCH($A9-1,'Costar - US Multifamily'!$A$2:$A$34,0))-INDEX('Costar - US Multifamily'!$F$2:$F$34,MATCH($A9,'Costar - US Multifamily'!$A$2:$A$34,0))</f>
        <v>0.0165942083676914</v>
      </c>
      <c r="AA9" s="9" t="n">
        <f aca="false">INDEX('Costar - US Multifamily'!$H$2:$H$34,MATCH($A9,'Costar - US Multifamily'!$A$2:$A$34,0))</f>
        <v>1648.60423459865</v>
      </c>
      <c r="AB9" s="19" t="n">
        <f aca="false">1-INDEX('Costar - US Multifamily'!$F$2:$F$34,MATCH($A9,'Costar - US Multifamily'!$A$2:$A$34,0))</f>
        <v>0.948838109682052</v>
      </c>
      <c r="AC9" s="18" t="n">
        <f aca="false">AC8*(1+Y9)</f>
        <v>123.022780000098</v>
      </c>
    </row>
    <row r="10" customFormat="false" ht="15" hidden="false" customHeight="true" outlineLevel="0" collapsed="false">
      <c r="A10" s="2" t="n">
        <v>2022</v>
      </c>
      <c r="B10" s="13" t="n">
        <f aca="false">INDEX(MAA!$Z$8:$Z$17,MATCH($A10,MAA!$A$8:$A$17,0))</f>
        <v>0.0571301151901416</v>
      </c>
      <c r="C10" s="13" t="n">
        <f aca="false">INDEX(MAA!$Y$8:$Y$17,MATCH($A10,MAA!$A$8:$A$17,0))</f>
        <v>0.0388</v>
      </c>
      <c r="D10" s="13" t="n">
        <f aca="false">B10-C10</f>
        <v>0.0183301151901416</v>
      </c>
      <c r="E10" s="13" t="n">
        <f aca="false">INDEX(MAA!$AA$8:$AA$17,MATCH($A10,MAA!$A$8:$A$17,0))</f>
        <v>0.062613228982186</v>
      </c>
      <c r="F10" s="13" t="n">
        <f aca="false">E10-B10</f>
        <v>0.00548311379204439</v>
      </c>
      <c r="G10" s="13" t="n">
        <f aca="false">INDEX('Costar - US Multifamily'!$F$2:$F$34,MATCH($A10,'Costar - US Multifamily'!$A$2:$A$34,0))</f>
        <v>0.0659326534476428</v>
      </c>
      <c r="H10" s="13" t="n">
        <f aca="false">INDEX('Costar - US Multifamily'!$I$2:$I$34,MATCH($A10,'Costar - US Multifamily'!$A$2:$A$34,0))</f>
        <v>0.0401127220010312</v>
      </c>
      <c r="I10" s="13" t="n">
        <f aca="false">INDEX('Costar - US Multifamily'!$C$2:$C$34,MATCH($A10,'Costar - US Multifamily'!$A$2:$A$34,0))/INDEX('Costar - US Multifamily'!$B$2:$B$34,MATCH($A10,'Costar - US Multifamily'!$A$2:$A$34,0))</f>
        <v>0.0235067606934977</v>
      </c>
      <c r="J10" s="18" t="n">
        <f aca="false">INDEX(MAA!$AB$8:$AB$17,MATCH($A10,MAA!$A$8:$A$17,0))</f>
        <v>17.5039030933472</v>
      </c>
      <c r="K10" s="18" t="n">
        <f aca="false">INDEX(MAA!$AC$8:$AC$17,MATCH($A10,MAA!$A$8:$A$17,0))</f>
        <v>15.9710657996014</v>
      </c>
      <c r="L10" s="9" t="n">
        <f aca="false">INDEX(MAA!$B$8:$B$17,MATCH($A10,MAA!$A$8:$A$17,0))</f>
        <v>1296.172</v>
      </c>
      <c r="M10" s="9" t="n">
        <f aca="false">INDEX(MAA!$Q$8:$Q$17,MATCH($A10,MAA!$A$8:$A$17,0))</f>
        <v>22688.06908031</v>
      </c>
      <c r="N10" s="9" t="n">
        <f aca="false">INDEX(MAA!$D$8:$D$17,MATCH($A10,MAA!$A$8:$A$17,0))</f>
        <v>1141.425</v>
      </c>
      <c r="O10" s="9" t="n">
        <f aca="false">INDEX(MAA!$K$8:$K$17,MATCH($A10,MAA!$A$8:$A$17,0))</f>
        <v>18229.77378031</v>
      </c>
      <c r="P10" s="13" t="n">
        <f aca="false">INDEX('Prime Rate'!$B$2:$B$13,MATCH($A10,'Prime Rate'!$A$2:$A$13,0))/100</f>
        <v>0.0485</v>
      </c>
      <c r="Q10" s="9" t="n">
        <f aca="false">M10-L10</f>
        <v>21391.89708031</v>
      </c>
      <c r="R10" s="9" t="n">
        <f aca="false">O10-N10</f>
        <v>17088.34878031</v>
      </c>
      <c r="S10" s="13" t="n">
        <f aca="false">INDEX(Inflation!$G$4:$G$21,MATCH($A10,Inflation!$A$4:$A$21,0))</f>
        <v>0.0799083303502561</v>
      </c>
      <c r="T10" s="13" t="n">
        <f aca="false">INDEX('Green Street National'!$D$4:$D$18,MATCH($A10,'Green Street National'!$A$4:$A$18,0))</f>
        <v>0.05048362</v>
      </c>
      <c r="U10" s="18" t="n">
        <f aca="false">INDEX('Green Street National'!$F$4:$F$18,MATCH($A10,'Green Street National'!$A$4:$A$18,0))</f>
        <v>112.259083245291</v>
      </c>
      <c r="V10" s="18" t="n">
        <f aca="false">INDEX(Inflation!$D$4:$D$21,MATCH($A10,Inflation!$A$4:$A$21,0))</f>
        <v>144.713064056365</v>
      </c>
      <c r="W10" s="18" t="n">
        <f aca="false">INDEX(Inflation!$E$4:$E$21,MATCH($A10,Inflation!$A$4:$A$21,0))</f>
        <v>121.924959896669</v>
      </c>
      <c r="X10" s="18" t="n">
        <f aca="false">INDEX('Costar - US Multifamily'!$H$2:$H$34,MATCH($A10,'Costar - US Multifamily'!$A$2:$A$34,0))/INDEX('Costar - US Multifamily'!$H$2:$H$34,MATCH(2016,'Costar - US Multifamily'!$A$2:$A$34,0))*100</f>
        <v>124.5841278629</v>
      </c>
      <c r="Y10" s="13" t="n">
        <f aca="false">INDEX('Green Street National'!$C$4:$C$18,MATCH($A10,'Green Street National'!$A$4:$A$18,0))</f>
        <v>0.04550639</v>
      </c>
      <c r="Z10" s="13" t="n">
        <f aca="false">INDEX('Costar - US Multifamily'!$F$2:$F$34,MATCH($A10-1,'Costar - US Multifamily'!$A$2:$A$34,0))-INDEX('Costar - US Multifamily'!$F$2:$F$34,MATCH($A10,'Costar - US Multifamily'!$A$2:$A$34,0))</f>
        <v>-0.014770763129695</v>
      </c>
      <c r="AA10" s="9" t="n">
        <f aca="false">INDEX('Costar - US Multifamily'!$H$2:$H$34,MATCH($A10,'Costar - US Multifamily'!$A$2:$A$34,0))</f>
        <v>1714.73423795083</v>
      </c>
      <c r="AB10" s="19" t="n">
        <f aca="false">1-INDEX('Costar - US Multifamily'!$F$2:$F$34,MATCH($A10,'Costar - US Multifamily'!$A$2:$A$34,0))</f>
        <v>0.934067346552357</v>
      </c>
      <c r="AC10" s="18" t="n">
        <f aca="false">AC9*(1+Y10)</f>
        <v>128.621102605667</v>
      </c>
    </row>
    <row r="11" customFormat="false" ht="15" hidden="false" customHeight="true" outlineLevel="0" collapsed="false">
      <c r="A11" s="2" t="n">
        <v>2023</v>
      </c>
      <c r="B11" s="13" t="n">
        <f aca="false">INDEX(MAA!$Z$8:$Z$17,MATCH($A11,MAA!$A$8:$A$17,0))</f>
        <v>0.0682054496520018</v>
      </c>
      <c r="C11" s="13" t="n">
        <f aca="false">INDEX(MAA!$Y$8:$Y$17,MATCH($A11,MAA!$A$8:$A$17,0))</f>
        <v>0.0388</v>
      </c>
      <c r="D11" s="13" t="n">
        <f aca="false">B11-C11</f>
        <v>0.0294054496520018</v>
      </c>
      <c r="E11" s="13" t="n">
        <f aca="false">INDEX(MAA!$AA$8:$AA$17,MATCH($A11,MAA!$A$8:$A$17,0))</f>
        <v>0.0786431628973524</v>
      </c>
      <c r="F11" s="13" t="n">
        <f aca="false">E11-B11</f>
        <v>0.0104377132453506</v>
      </c>
      <c r="G11" s="13" t="n">
        <f aca="false">INDEX('Costar - US Multifamily'!$F$2:$F$34,MATCH($A11,'Costar - US Multifamily'!$A$2:$A$34,0))</f>
        <v>0.0779636683425829</v>
      </c>
      <c r="H11" s="13" t="n">
        <f aca="false">INDEX('Costar - US Multifamily'!$I$2:$I$34,MATCH($A11,'Costar - US Multifamily'!$A$2:$A$34,0))</f>
        <v>0.0130911031748043</v>
      </c>
      <c r="I11" s="13" t="n">
        <f aca="false">INDEX('Costar - US Multifamily'!$C$2:$C$34,MATCH($A11,'Costar - US Multifamily'!$A$2:$A$34,0))/INDEX('Costar - US Multifamily'!$B$2:$B$34,MATCH($A11,'Costar - US Multifamily'!$A$2:$A$34,0))</f>
        <v>0.0306486490814444</v>
      </c>
      <c r="J11" s="18" t="n">
        <f aca="false">INDEX(MAA!$AB$8:$AB$17,MATCH($A11,MAA!$A$8:$A$17,0))</f>
        <v>14.6615850361255</v>
      </c>
      <c r="K11" s="18" t="n">
        <f aca="false">INDEX(MAA!$AC$8:$AC$17,MATCH($A11,MAA!$A$8:$A$17,0))</f>
        <v>12.7156635511371</v>
      </c>
      <c r="L11" s="9" t="n">
        <f aca="false">INDEX(MAA!$B$8:$B$17,MATCH($A11,MAA!$A$8:$A$17,0))</f>
        <v>1380.327</v>
      </c>
      <c r="M11" s="9" t="n">
        <f aca="false">INDEX(MAA!$Q$8:$Q$17,MATCH($A11,MAA!$A$8:$A$17,0))</f>
        <v>20237.78168816</v>
      </c>
      <c r="N11" s="9" t="n">
        <f aca="false">INDEX(MAA!$D$8:$D$17,MATCH($A11,MAA!$A$8:$A$17,0))</f>
        <v>1231.093</v>
      </c>
      <c r="O11" s="9" t="n">
        <f aca="false">INDEX(MAA!$K$8:$K$17,MATCH($A11,MAA!$A$8:$A$17,0))</f>
        <v>15654.16438816</v>
      </c>
      <c r="P11" s="13" t="n">
        <f aca="false">INDEX('Prime Rate'!$B$2:$B$13,MATCH($A11,'Prime Rate'!$A$2:$A$13,0))/100</f>
        <v>0.0819</v>
      </c>
      <c r="Q11" s="9" t="n">
        <f aca="false">M11-L11</f>
        <v>18857.45468816</v>
      </c>
      <c r="R11" s="9" t="n">
        <f aca="false">O11-N11</f>
        <v>14423.07138816</v>
      </c>
      <c r="S11" s="13" t="n">
        <f aca="false">INDEX(Inflation!$G$4:$G$21,MATCH($A11,Inflation!$A$4:$A$21,0))</f>
        <v>0.0412711105643382</v>
      </c>
      <c r="T11" s="13" t="n">
        <f aca="false">INDEX('Green Street National'!$D$4:$D$18,MATCH($A11,'Green Street National'!$A$4:$A$18,0))</f>
        <v>0.05662173</v>
      </c>
      <c r="U11" s="18" t="n">
        <f aca="false">INDEX('Green Street National'!$F$4:$F$18,MATCH($A11,'Green Street National'!$A$4:$A$18,0))</f>
        <v>100.508627067155</v>
      </c>
      <c r="V11" s="18" t="n">
        <f aca="false">INDEX(Inflation!$D$4:$D$21,MATCH($A11,Inflation!$A$4:$A$21,0))</f>
        <v>156.117893831012</v>
      </c>
      <c r="W11" s="18" t="n">
        <f aca="false">INDEX(Inflation!$E$4:$E$21,MATCH($A11,Inflation!$A$4:$A$21,0))</f>
        <v>126.956938397117</v>
      </c>
      <c r="X11" s="18" t="n">
        <f aca="false">INDEX('Costar - US Multifamily'!$H$2:$H$34,MATCH($A11,'Costar - US Multifamily'!$A$2:$A$34,0))/INDEX('Costar - US Multifamily'!$H$2:$H$34,MATCH(2016,'Costar - US Multifamily'!$A$2:$A$34,0))*100</f>
        <v>126.215071534696</v>
      </c>
      <c r="Y11" s="13" t="n">
        <f aca="false">INDEX('Green Street National'!$C$4:$C$18,MATCH($A11,'Green Street National'!$A$4:$A$18,0))</f>
        <v>-0.00280259</v>
      </c>
      <c r="Z11" s="13" t="n">
        <f aca="false">INDEX('Costar - US Multifamily'!$F$2:$F$34,MATCH($A11-1,'Costar - US Multifamily'!$A$2:$A$34,0))-INDEX('Costar - US Multifamily'!$F$2:$F$34,MATCH($A11,'Costar - US Multifamily'!$A$2:$A$34,0))</f>
        <v>-0.0120310148949401</v>
      </c>
      <c r="AA11" s="9" t="n">
        <f aca="false">INDEX('Costar - US Multifamily'!$H$2:$H$34,MATCH($A11,'Costar - US Multifamily'!$A$2:$A$34,0))</f>
        <v>1737.18200077721</v>
      </c>
      <c r="AB11" s="19" t="n">
        <f aca="false">1-INDEX('Costar - US Multifamily'!$F$2:$F$34,MATCH($A11,'Costar - US Multifamily'!$A$2:$A$34,0))</f>
        <v>0.922036331657417</v>
      </c>
      <c r="AC11" s="18" t="n">
        <f aca="false">AC10*(1+Y11)</f>
        <v>128.260630389715</v>
      </c>
    </row>
    <row r="12" customFormat="false" ht="15" hidden="false" customHeight="true" outlineLevel="0" collapsed="false">
      <c r="A12" s="2" t="n">
        <v>2024</v>
      </c>
      <c r="B12" s="13" t="n">
        <f aca="false">INDEX(MAA!$Z$8:$Z$17,MATCH($A12,MAA!$A$8:$A$17,0))</f>
        <v>0.0595464052819107</v>
      </c>
      <c r="C12" s="13" t="n">
        <f aca="false">INDEX(MAA!$Y$8:$Y$17,MATCH($A12,MAA!$A$8:$A$17,0))</f>
        <v>0.0458</v>
      </c>
      <c r="D12" s="13" t="n">
        <f aca="false">B12-C12</f>
        <v>0.0137464052819107</v>
      </c>
      <c r="E12" s="13" t="n">
        <f aca="false">INDEX(MAA!$AA$8:$AA$17,MATCH($A12,MAA!$A$8:$A$17,0))</f>
        <v>0.0668047067415041</v>
      </c>
      <c r="F12" s="13" t="n">
        <f aca="false">E12-B12</f>
        <v>0.00725830145959343</v>
      </c>
      <c r="G12" s="13" t="n">
        <f aca="false">INDEX('Costar - US Multifamily'!$F$2:$F$34,MATCH($A12,'Costar - US Multifamily'!$A$2:$A$34,0))</f>
        <v>0.083232084773644</v>
      </c>
      <c r="H12" s="13" t="n">
        <f aca="false">INDEX('Costar - US Multifamily'!$I$2:$I$34,MATCH($A12,'Costar - US Multifamily'!$A$2:$A$34,0))</f>
        <v>0.0121569826661413</v>
      </c>
      <c r="I12" s="13" t="n">
        <f aca="false">INDEX('Costar - US Multifamily'!$C$2:$C$34,MATCH($A12,'Costar - US Multifamily'!$A$2:$A$34,0))/INDEX('Costar - US Multifamily'!$B$2:$B$34,MATCH($A12,'Costar - US Multifamily'!$A$2:$A$34,0))</f>
        <v>0.0344953335384235</v>
      </c>
      <c r="J12" s="18" t="n">
        <f aca="false">INDEX(MAA!$AB$8:$AB$17,MATCH($A12,MAA!$A$8:$A$17,0))</f>
        <v>16.7936249932418</v>
      </c>
      <c r="K12" s="18" t="n">
        <f aca="false">INDEX(MAA!$AC$8:$AC$17,MATCH($A12,MAA!$A$8:$A$17,0))</f>
        <v>14.9690051611098</v>
      </c>
      <c r="L12" s="9" t="n">
        <f aca="false">INDEX(MAA!$B$8:$B$17,MATCH($A12,MAA!$A$8:$A$17,0))</f>
        <v>1370.923</v>
      </c>
      <c r="M12" s="9" t="n">
        <f aca="false">INDEX(MAA!$Q$8:$Q$17,MATCH($A12,MAA!$A$8:$A$17,0))</f>
        <v>23022.76675661</v>
      </c>
      <c r="N12" s="9" t="n">
        <f aca="false">INDEX(MAA!$D$8:$D$17,MATCH($A12,MAA!$A$8:$A$17,0))</f>
        <v>1202.379</v>
      </c>
      <c r="O12" s="9" t="n">
        <f aca="false">INDEX(MAA!$K$8:$K$17,MATCH($A12,MAA!$A$8:$A$17,0))</f>
        <v>17998.41745661</v>
      </c>
      <c r="P12" s="13" t="n">
        <f aca="false">INDEX('Prime Rate'!$B$2:$B$13,MATCH($A12,'Prime Rate'!$A$2:$A$13,0))/100</f>
        <v>0.0831</v>
      </c>
      <c r="Q12" s="9" t="n">
        <f aca="false">M12-L12</f>
        <v>21651.84375661</v>
      </c>
      <c r="R12" s="9" t="n">
        <f aca="false">O12-N12</f>
        <v>16796.03845661</v>
      </c>
      <c r="S12" s="13" t="n">
        <f aca="false">INDEX(Inflation!$G$4:$G$21,MATCH($A12,Inflation!$A$4:$A$21,0))</f>
        <v>0.0295205495187116</v>
      </c>
      <c r="T12" s="13" t="n">
        <f aca="false">INDEX('Green Street National'!$D$4:$D$18,MATCH($A12,'Green Street National'!$A$4:$A$18,0))</f>
        <v>0.05208783</v>
      </c>
      <c r="U12" s="18" t="n">
        <f aca="false">INDEX('Green Street National'!$F$4:$F$18,MATCH($A12,'Green Street National'!$A$4:$A$18,0))</f>
        <v>109.137003547425</v>
      </c>
      <c r="V12" s="18" t="n">
        <f aca="false">INDEX(Inflation!$D$4:$D$21,MATCH($A12,Inflation!$A$4:$A$21,0))</f>
        <v>156.281037666505</v>
      </c>
      <c r="W12" s="18" t="n">
        <f aca="false">INDEX(Inflation!$E$4:$E$21,MATCH($A12,Inflation!$A$4:$A$21,0))</f>
        <v>130.704776983813</v>
      </c>
      <c r="X12" s="18" t="n">
        <f aca="false">INDEX('Costar - US Multifamily'!$H$2:$H$34,MATCH($A12,'Costar - US Multifamily'!$A$2:$A$34,0))/INDEX('Costar - US Multifamily'!$H$2:$H$34,MATCH(2016,'Costar - US Multifamily'!$A$2:$A$34,0))*100</f>
        <v>127.749465971549</v>
      </c>
      <c r="Y12" s="13" t="n">
        <f aca="false">INDEX('Green Street National'!$C$4:$C$18,MATCH($A12,'Green Street National'!$A$4:$A$18,0))</f>
        <v>0.0053018</v>
      </c>
      <c r="Z12" s="13" t="n">
        <f aca="false">INDEX('Costar - US Multifamily'!$F$2:$F$34,MATCH($A12-1,'Costar - US Multifamily'!$A$2:$A$34,0))-INDEX('Costar - US Multifamily'!$F$2:$F$34,MATCH($A12,'Costar - US Multifamily'!$A$2:$A$34,0))</f>
        <v>-0.00526841643106109</v>
      </c>
      <c r="AA12" s="9" t="n">
        <f aca="false">INDEX('Costar - US Multifamily'!$H$2:$H$34,MATCH($A12,'Costar - US Multifamily'!$A$2:$A$34,0))</f>
        <v>1758.30089224859</v>
      </c>
      <c r="AB12" s="19" t="n">
        <f aca="false">1-INDEX('Costar - US Multifamily'!$F$2:$F$34,MATCH($A12,'Costar - US Multifamily'!$A$2:$A$34,0))</f>
        <v>0.916767915226356</v>
      </c>
      <c r="AC12" s="18" t="n">
        <f aca="false">AC11*(1+Y12)</f>
        <v>128.940642599915</v>
      </c>
    </row>
    <row r="13" customFormat="false" ht="15" hidden="false" customHeight="true" outlineLevel="0" collapsed="false">
      <c r="A13" s="2" t="n">
        <v>2025</v>
      </c>
      <c r="B13" s="13" t="n">
        <f aca="false">INDEX(MAA!$Z$8:$Z$17,MATCH($A13,MAA!$A$8:$A$17,0))</f>
        <v>0.0635080694466279</v>
      </c>
      <c r="C13" s="13" t="n">
        <f aca="false">INDEX(MAA!$Y$8:$Y$17,MATCH($A13,MAA!$A$8:$A$17,0))</f>
        <v>0.0418</v>
      </c>
      <c r="D13" s="13" t="n">
        <f aca="false">B13-C13</f>
        <v>0.0217080694466279</v>
      </c>
      <c r="E13" s="13" t="n">
        <f aca="false">INDEX(MAA!$AA$8:$AA$17,MATCH($A13,MAA!$A$8:$A$17,0))</f>
        <v>0.0734673632372222</v>
      </c>
      <c r="F13" s="13" t="n">
        <f aca="false">E13-B13</f>
        <v>0.00995929379059429</v>
      </c>
      <c r="G13" s="13" t="n">
        <f aca="false">INDEX('Costar - US Multifamily'!$F$2:$F$34,MATCH($A13,'Costar - US Multifamily'!$A$2:$A$34,0))</f>
        <v>0.0847075532784309</v>
      </c>
      <c r="H13" s="13" t="n">
        <f aca="false">INDEX('Costar - US Multifamily'!$I$2:$I$34,MATCH($A13,'Costar - US Multifamily'!$A$2:$A$34,0))</f>
        <v>0.0042997106099318</v>
      </c>
      <c r="I13" s="13" t="n">
        <f aca="false">INDEX('Costar - US Multifamily'!$C$2:$C$34,MATCH($A13,'Costar - US Multifamily'!$A$2:$A$34,0))/INDEX('Costar - US Multifamily'!$B$2:$B$34,MATCH($A13,'Costar - US Multifamily'!$A$2:$A$34,0))</f>
        <v>0.0256603251765355</v>
      </c>
      <c r="J13" s="18" t="n">
        <f aca="false">INDEX(MAA!$AB$8:$AB$17,MATCH($A13,MAA!$A$8:$A$17,0))</f>
        <v>15.7460305235762</v>
      </c>
      <c r="K13" s="18" t="n">
        <f aca="false">INDEX(MAA!$AC$8:$AC$17,MATCH($A13,MAA!$A$8:$A$17,0))</f>
        <v>13.611486188378</v>
      </c>
      <c r="L13" s="9" t="n">
        <f aca="false">INDEX(MAA!$B$8:$B$17,MATCH($A13,MAA!$A$8:$A$17,0))</f>
        <v>1371.319</v>
      </c>
      <c r="M13" s="9" t="n">
        <f aca="false">INDEX(MAA!$Q$8:$Q$17,MATCH($A13,MAA!$A$8:$A$17,0))</f>
        <v>21592.83083156</v>
      </c>
      <c r="N13" s="9" t="n">
        <f aca="false">INDEX(MAA!$D$8:$D$17,MATCH($A13,MAA!$A$8:$A$17,0))</f>
        <v>1186.062</v>
      </c>
      <c r="O13" s="9" t="n">
        <f aca="false">INDEX(MAA!$K$8:$K$17,MATCH($A13,MAA!$A$8:$A$17,0))</f>
        <v>16144.06653156</v>
      </c>
      <c r="P13" s="13" t="n">
        <f aca="false">INDEX('Prime Rate'!$B$2:$B$13,MATCH($A13,'Prime Rate'!$A$2:$A$13,0))/100</f>
        <v>0.0737</v>
      </c>
      <c r="Q13" s="9" t="n">
        <f aca="false">M13-L13</f>
        <v>20221.51183156</v>
      </c>
      <c r="R13" s="9" t="n">
        <f aca="false">O13-N13</f>
        <v>14958.00453156</v>
      </c>
      <c r="S13" s="13" t="n">
        <f aca="false">INDEX(Inflation!$G$4:$G$21,MATCH($A13,Inflation!$A$4:$A$21,0))</f>
        <v>0.0263438083762091</v>
      </c>
      <c r="T13" s="13" t="n">
        <f aca="false">INDEX('Green Street National'!$D$4:$D$18,MATCH($A13,'Green Street National'!$A$4:$A$18,0))</f>
        <v>0.05229724</v>
      </c>
      <c r="U13" s="18" t="n">
        <f aca="false">INDEX('Green Street National'!$F$4:$F$18,MATCH($A13,'Green Street National'!$A$4:$A$18,0))</f>
        <v>109.052228192995</v>
      </c>
      <c r="V13" s="18" t="n">
        <f aca="false">INDEX(Inflation!$D$4:$D$21,MATCH($A13,Inflation!$A$4:$A$21,0))</f>
        <v>158.821420247763</v>
      </c>
      <c r="W13" s="18" t="n">
        <f aca="false">INDEX(Inflation!$E$4:$E$21,MATCH($A13,Inflation!$A$4:$A$21,0))</f>
        <v>134.14803858253</v>
      </c>
      <c r="X13" s="18" t="n">
        <f aca="false">INDEX('Costar - US Multifamily'!$H$2:$H$34,MATCH($A13,'Costar - US Multifamily'!$A$2:$A$34,0))/INDEX('Costar - US Multifamily'!$H$2:$H$34,MATCH(2016,'Costar - US Multifamily'!$A$2:$A$34,0))*100</f>
        <v>128.2987517058</v>
      </c>
      <c r="Y13" s="13" t="n">
        <f aca="false">INDEX('Green Street National'!$C$4:$C$18,MATCH($A13,'Green Street National'!$A$4:$A$18,0))</f>
        <v>0.003249</v>
      </c>
      <c r="Z13" s="13" t="n">
        <f aca="false">INDEX('Costar - US Multifamily'!$F$2:$F$34,MATCH($A13-1,'Costar - US Multifamily'!$A$2:$A$34,0))-INDEX('Costar - US Multifamily'!$F$2:$F$34,MATCH($A13,'Costar - US Multifamily'!$A$2:$A$34,0))</f>
        <v>-0.0014754685047869</v>
      </c>
      <c r="AA13" s="9" t="n">
        <f aca="false">INDEX('Costar - US Multifamily'!$H$2:$H$34,MATCH($A13,'Costar - US Multifamily'!$A$2:$A$34,0))</f>
        <v>1765.86107725045</v>
      </c>
      <c r="AB13" s="19" t="n">
        <f aca="false">1-INDEX('Costar - US Multifamily'!$F$2:$F$34,MATCH($A13,'Costar - US Multifamily'!$A$2:$A$34,0))</f>
        <v>0.915292446721569</v>
      </c>
      <c r="AC13" s="18" t="n">
        <f aca="false">AC12*(1+Y13)</f>
        <v>129.359570747722</v>
      </c>
    </row>
    <row r="15" customFormat="false" ht="15" hidden="false" customHeight="true" outlineLevel="0" collapsed="false">
      <c r="A15" s="2" t="s">
        <v>623</v>
      </c>
    </row>
    <row r="16" customFormat="false" ht="15" hidden="false" customHeight="true" outlineLevel="0" collapsed="false">
      <c r="A16" s="17" t="s">
        <v>674</v>
      </c>
    </row>
    <row r="17" customFormat="false" ht="15" hidden="false" customHeight="true" outlineLevel="0" collapsed="false">
      <c r="A17" s="17" t="s">
        <v>625</v>
      </c>
    </row>
    <row r="18" customFormat="false" ht="15" hidden="false" customHeight="true" outlineLevel="0" collapsed="false">
      <c r="A18" s="17" t="s">
        <v>626</v>
      </c>
    </row>
    <row r="19" customFormat="false" ht="15" hidden="false" customHeight="true" outlineLevel="0" collapsed="false">
      <c r="A19" s="17" t="s">
        <v>675</v>
      </c>
    </row>
    <row r="20" customFormat="false" ht="15" hidden="false" customHeight="true" outlineLevel="0" collapsed="false">
      <c r="A20" s="17" t="s">
        <v>628</v>
      </c>
    </row>
    <row r="21" customFormat="false" ht="15" hidden="false" customHeight="true" outlineLevel="0" collapsed="false">
      <c r="A21" s="17" t="s">
        <v>629</v>
      </c>
    </row>
    <row r="22" customFormat="false" ht="15" hidden="false" customHeight="true" outlineLevel="0" collapsed="false">
      <c r="A22" s="17" t="s">
        <v>630</v>
      </c>
    </row>
    <row r="23" customFormat="false" ht="15" hidden="false" customHeight="true" outlineLevel="0" collapsed="false">
      <c r="A23" s="17" t="s">
        <v>631</v>
      </c>
    </row>
    <row r="24" customFormat="false" ht="15" hidden="false" customHeight="true" outlineLevel="0" collapsed="false">
      <c r="A24" s="17" t="s">
        <v>632</v>
      </c>
    </row>
    <row r="25" customFormat="false" ht="15" hidden="false" customHeight="true" outlineLevel="0" collapsed="false">
      <c r="A25" s="17" t="s">
        <v>633</v>
      </c>
    </row>
    <row r="26" customFormat="false" ht="15" hidden="false" customHeight="true" outlineLevel="0" collapsed="false">
      <c r="A26" s="17" t="s">
        <v>676</v>
      </c>
    </row>
    <row r="27" customFormat="false" ht="15" hidden="false" customHeight="true" outlineLevel="0" collapsed="false">
      <c r="A27" s="17" t="s">
        <v>635</v>
      </c>
    </row>
    <row r="28" customFormat="false" ht="15" hidden="false" customHeight="true" outlineLevel="0" collapsed="false">
      <c r="A28" s="17" t="s">
        <v>636</v>
      </c>
    </row>
    <row r="29" customFormat="false" ht="15" hidden="false" customHeight="true" outlineLevel="0" collapsed="false">
      <c r="A29" s="17" t="s">
        <v>637</v>
      </c>
    </row>
    <row r="30" customFormat="false" ht="15" hidden="false" customHeight="true" outlineLevel="0" collapsed="false">
      <c r="A30" s="17" t="s">
        <v>638</v>
      </c>
    </row>
    <row r="31" customFormat="false" ht="15" hidden="false" customHeight="true" outlineLevel="0" collapsed="false">
      <c r="A31" s="17" t="s">
        <v>639</v>
      </c>
    </row>
    <row r="32" customFormat="false" ht="15" hidden="false" customHeight="true" outlineLevel="0" collapsed="false">
      <c r="A32" s="17" t="s">
        <v>640</v>
      </c>
    </row>
    <row r="33" customFormat="false" ht="15" hidden="false" customHeight="true" outlineLevel="0" collapsed="false">
      <c r="A33" s="17" t="s">
        <v>641</v>
      </c>
    </row>
    <row r="34" customFormat="false" ht="15" hidden="false" customHeight="true" outlineLevel="0" collapsed="false">
      <c r="A34" s="17" t="s">
        <v>642</v>
      </c>
    </row>
    <row r="35" customFormat="false" ht="15" hidden="false" customHeight="true" outlineLevel="0" collapsed="false">
      <c r="A35" s="17" t="s">
        <v>643</v>
      </c>
    </row>
    <row r="36" customFormat="false" ht="15" hidden="false" customHeight="true" outlineLevel="0" collapsed="false">
      <c r="A36" s="17" t="s">
        <v>644</v>
      </c>
    </row>
    <row r="37" customFormat="false" ht="15" hidden="false" customHeight="true" outlineLevel="0" collapsed="false">
      <c r="A37" s="17" t="s">
        <v>645</v>
      </c>
    </row>
    <row r="38" customFormat="false" ht="15" hidden="false" customHeight="true" outlineLevel="0" collapsed="false">
      <c r="A38" s="17" t="s">
        <v>646</v>
      </c>
    </row>
    <row r="39" customFormat="false" ht="15" hidden="false" customHeight="true" outlineLevel="0" collapsed="false">
      <c r="A39" s="17" t="s">
        <v>647</v>
      </c>
    </row>
    <row r="40" customFormat="false" ht="15" hidden="false" customHeight="true" outlineLevel="0" collapsed="false">
      <c r="A40" s="17" t="s">
        <v>648</v>
      </c>
    </row>
    <row r="41" customFormat="false" ht="15" hidden="false" customHeight="true" outlineLevel="0" collapsed="false">
      <c r="A41" s="17" t="s">
        <v>649</v>
      </c>
    </row>
    <row r="42" customFormat="false" ht="15" hidden="false" customHeight="true" outlineLevel="0" collapsed="false">
      <c r="A42" s="17" t="s">
        <v>650</v>
      </c>
    </row>
    <row r="43" customFormat="false" ht="15" hidden="false" customHeight="true" outlineLevel="0" collapsed="false">
      <c r="A43" s="17" t="s">
        <v>651</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W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49" min="1" style="1" width="15"/>
  </cols>
  <sheetData>
    <row r="1" customFormat="false" ht="15" hidden="false" customHeight="true" outlineLevel="0" collapsed="false">
      <c r="A1" s="4" t="s">
        <v>677</v>
      </c>
    </row>
    <row r="3" customFormat="false" ht="15" hidden="false" customHeight="true" outlineLevel="0" collapsed="false">
      <c r="A3" s="5" t="s">
        <v>678</v>
      </c>
    </row>
    <row r="4" customFormat="false" ht="15" hidden="false" customHeight="true" outlineLevel="0" collapsed="false">
      <c r="A4" s="2" t="s">
        <v>525</v>
      </c>
    </row>
    <row r="6" customFormat="false" ht="21.75" hidden="false" customHeight="true" outlineLevel="0" collapsed="false">
      <c r="B6" s="6" t="s">
        <v>526</v>
      </c>
      <c r="C6" s="6" t="s">
        <v>526</v>
      </c>
      <c r="D6" s="6" t="s">
        <v>527</v>
      </c>
      <c r="E6" s="6" t="s">
        <v>526</v>
      </c>
      <c r="F6" s="6" t="s">
        <v>526</v>
      </c>
      <c r="G6" s="6" t="s">
        <v>527</v>
      </c>
      <c r="H6" s="6" t="s">
        <v>530</v>
      </c>
      <c r="I6" s="6" t="s">
        <v>526</v>
      </c>
      <c r="J6" s="6" t="s">
        <v>527</v>
      </c>
      <c r="K6" s="6" t="s">
        <v>527</v>
      </c>
      <c r="L6" s="6" t="s">
        <v>526</v>
      </c>
      <c r="M6" s="6" t="s">
        <v>526</v>
      </c>
      <c r="N6" s="6" t="s">
        <v>530</v>
      </c>
      <c r="O6" s="6" t="s">
        <v>527</v>
      </c>
      <c r="P6" s="6" t="s">
        <v>527</v>
      </c>
      <c r="Q6" s="6" t="s">
        <v>527</v>
      </c>
      <c r="R6" s="6" t="s">
        <v>531</v>
      </c>
      <c r="S6" s="6" t="s">
        <v>530</v>
      </c>
      <c r="T6" s="6" t="s">
        <v>530</v>
      </c>
      <c r="U6" s="6" t="s">
        <v>531</v>
      </c>
      <c r="V6" s="6" t="s">
        <v>527</v>
      </c>
      <c r="W6" s="6" t="s">
        <v>529</v>
      </c>
      <c r="X6" s="6" t="s">
        <v>529</v>
      </c>
      <c r="Y6" s="6" t="s">
        <v>532</v>
      </c>
      <c r="Z6" s="6" t="s">
        <v>527</v>
      </c>
      <c r="AA6" s="6" t="s">
        <v>527</v>
      </c>
      <c r="AB6" s="6" t="s">
        <v>527</v>
      </c>
      <c r="AC6" s="6" t="s">
        <v>527</v>
      </c>
      <c r="AD6" s="6"/>
      <c r="AE6" s="6" t="s">
        <v>526</v>
      </c>
      <c r="AG6" s="7" t="s">
        <v>526</v>
      </c>
      <c r="AH6" s="7" t="s">
        <v>526</v>
      </c>
      <c r="AI6" s="7" t="s">
        <v>526</v>
      </c>
      <c r="AJ6" s="7" t="s">
        <v>526</v>
      </c>
      <c r="AK6" s="7" t="s">
        <v>526</v>
      </c>
      <c r="AL6" s="7" t="s">
        <v>526</v>
      </c>
      <c r="AM6" s="7" t="s">
        <v>529</v>
      </c>
      <c r="AN6" s="7" t="s">
        <v>529</v>
      </c>
      <c r="AO6" s="7" t="s">
        <v>526</v>
      </c>
      <c r="AP6" s="7" t="s">
        <v>526</v>
      </c>
      <c r="AQ6" s="7" t="s">
        <v>526</v>
      </c>
      <c r="AR6" s="7" t="s">
        <v>526</v>
      </c>
      <c r="AS6" s="7" t="s">
        <v>526</v>
      </c>
      <c r="AT6" s="7" t="s">
        <v>526</v>
      </c>
      <c r="AU6" s="7" t="s">
        <v>527</v>
      </c>
      <c r="AV6" s="7" t="s">
        <v>527</v>
      </c>
      <c r="AW6" s="7" t="s">
        <v>527</v>
      </c>
    </row>
    <row r="7" customFormat="false" ht="53.25" hidden="false" customHeight="true" outlineLevel="0" collapsed="false">
      <c r="A7" s="8" t="s">
        <v>533</v>
      </c>
      <c r="B7" s="8" t="s">
        <v>534</v>
      </c>
      <c r="C7" s="8" t="s">
        <v>535</v>
      </c>
      <c r="D7" s="8" t="s">
        <v>536</v>
      </c>
      <c r="E7" s="8" t="s">
        <v>537</v>
      </c>
      <c r="F7" s="8" t="s">
        <v>538</v>
      </c>
      <c r="G7" s="8" t="s">
        <v>539</v>
      </c>
      <c r="H7" s="8" t="s">
        <v>540</v>
      </c>
      <c r="I7" s="8" t="s">
        <v>679</v>
      </c>
      <c r="J7" s="8" t="s">
        <v>542</v>
      </c>
      <c r="K7" s="8" t="s">
        <v>543</v>
      </c>
      <c r="L7" s="8" t="s">
        <v>544</v>
      </c>
      <c r="M7" s="8" t="s">
        <v>545</v>
      </c>
      <c r="N7" s="8" t="s">
        <v>546</v>
      </c>
      <c r="O7" s="8" t="s">
        <v>547</v>
      </c>
      <c r="P7" s="8" t="s">
        <v>548</v>
      </c>
      <c r="Q7" s="8" t="s">
        <v>549</v>
      </c>
      <c r="R7" s="8" t="s">
        <v>550</v>
      </c>
      <c r="S7" s="8" t="s">
        <v>551</v>
      </c>
      <c r="T7" s="8" t="s">
        <v>552</v>
      </c>
      <c r="U7" s="8" t="s">
        <v>553</v>
      </c>
      <c r="V7" s="8" t="s">
        <v>554</v>
      </c>
      <c r="W7" s="8" t="s">
        <v>555</v>
      </c>
      <c r="X7" s="8" t="s">
        <v>556</v>
      </c>
      <c r="Y7" s="8" t="s">
        <v>557</v>
      </c>
      <c r="Z7" s="8" t="s">
        <v>558</v>
      </c>
      <c r="AA7" s="8" t="s">
        <v>559</v>
      </c>
      <c r="AB7" s="8" t="s">
        <v>560</v>
      </c>
      <c r="AC7" s="8" t="s">
        <v>561</v>
      </c>
      <c r="AD7" s="8"/>
      <c r="AE7" s="8" t="s">
        <v>680</v>
      </c>
      <c r="AG7" s="8" t="s">
        <v>681</v>
      </c>
      <c r="AH7" s="8" t="s">
        <v>682</v>
      </c>
      <c r="AI7" s="8" t="s">
        <v>683</v>
      </c>
      <c r="AJ7" s="8" t="s">
        <v>684</v>
      </c>
      <c r="AK7" s="8" t="s">
        <v>685</v>
      </c>
      <c r="AL7" s="8" t="s">
        <v>686</v>
      </c>
      <c r="AM7" s="8" t="s">
        <v>569</v>
      </c>
      <c r="AN7" s="8" t="s">
        <v>687</v>
      </c>
      <c r="AO7" s="8" t="s">
        <v>688</v>
      </c>
      <c r="AP7" s="8" t="s">
        <v>572</v>
      </c>
      <c r="AQ7" s="8" t="s">
        <v>573</v>
      </c>
      <c r="AR7" s="8" t="s">
        <v>689</v>
      </c>
      <c r="AS7" s="8" t="s">
        <v>690</v>
      </c>
      <c r="AT7" s="8" t="s">
        <v>657</v>
      </c>
      <c r="AU7" s="8" t="s">
        <v>691</v>
      </c>
      <c r="AV7" s="8" t="s">
        <v>692</v>
      </c>
      <c r="AW7" s="8" t="s">
        <v>693</v>
      </c>
    </row>
    <row r="8" customFormat="false" ht="15" hidden="false" customHeight="true" outlineLevel="0" collapsed="false">
      <c r="A8" s="2" t="n">
        <v>2025</v>
      </c>
      <c r="B8" s="9" t="n">
        <f aca="false">AG8/1000</f>
        <v>1006.834</v>
      </c>
      <c r="C8" s="9" t="n">
        <f aca="false">AH8/1000</f>
        <v>138.239</v>
      </c>
      <c r="D8" s="9" t="n">
        <f aca="false">B8-C8</f>
        <v>868.595</v>
      </c>
      <c r="E8" s="10" t="n">
        <v>110.08</v>
      </c>
      <c r="F8" s="11" t="n">
        <f aca="false">AO8/1000</f>
        <v>107.807</v>
      </c>
      <c r="G8" s="9" t="n">
        <f aca="false">E8*F8</f>
        <v>11867.39456</v>
      </c>
      <c r="H8" s="12" t="n">
        <v>0</v>
      </c>
      <c r="I8" s="9" t="n">
        <f aca="false">AL8/1000</f>
        <v>419.227</v>
      </c>
      <c r="J8" s="9" t="n">
        <f aca="false">H8+I8</f>
        <v>419.227</v>
      </c>
      <c r="K8" s="9" t="n">
        <f aca="false">G8-J8</f>
        <v>11448.16756</v>
      </c>
      <c r="L8" s="9" t="n">
        <f aca="false">AR8/1000</f>
        <v>3570.193</v>
      </c>
      <c r="M8" s="9" t="n">
        <f aca="false">AS8/1000</f>
        <v>330.597</v>
      </c>
      <c r="N8" s="12" t="n">
        <v>0</v>
      </c>
      <c r="O8" s="9" t="n">
        <f aca="false">SUM(L8:N8)</f>
        <v>3900.79</v>
      </c>
      <c r="P8" s="9" t="n">
        <f aca="false">G8+O8</f>
        <v>15768.18456</v>
      </c>
      <c r="Q8" s="9" t="n">
        <f aca="false">K8+O8</f>
        <v>15348.95756</v>
      </c>
      <c r="R8" s="9" t="n">
        <f aca="false">AI8/1000</f>
        <v>757.225</v>
      </c>
      <c r="S8" s="5" t="s">
        <v>580</v>
      </c>
      <c r="T8" s="5" t="s">
        <v>580</v>
      </c>
      <c r="U8" s="9" t="n">
        <f aca="false">AJ8/1000</f>
        <v>108.174</v>
      </c>
      <c r="V8" s="9" t="n">
        <f aca="false">R8-U8</f>
        <v>649.051</v>
      </c>
      <c r="W8" s="9" t="n">
        <f aca="false">AM8/1000</f>
        <v>826.621</v>
      </c>
      <c r="X8" s="9" t="n">
        <f aca="false">AN8/1000</f>
        <v>460.95</v>
      </c>
      <c r="Y8" s="13" t="n">
        <f aca="false">INDEX('10 YR UST'!$B:$B,MATCH($A8,'10 YR UST'!$A:$A,0))/100</f>
        <v>0.0418</v>
      </c>
      <c r="Z8" s="13" t="n">
        <f aca="false">B8/Q8</f>
        <v>0.0655962462639059</v>
      </c>
      <c r="AA8" s="13" t="n">
        <f aca="false">D8/K8</f>
        <v>0.0758719677579562</v>
      </c>
      <c r="AB8" s="14" t="n">
        <f aca="false">Q8/B8</f>
        <v>15.2447747692271</v>
      </c>
      <c r="AC8" s="14" t="n">
        <f aca="false">K8/D8</f>
        <v>13.1800983887773</v>
      </c>
      <c r="AD8" s="15"/>
      <c r="AE8" s="15" t="n">
        <v>0.954</v>
      </c>
      <c r="AG8" s="12" t="n">
        <v>1006834</v>
      </c>
      <c r="AH8" s="12" t="n">
        <v>138239</v>
      </c>
      <c r="AI8" s="12" t="n">
        <v>757225</v>
      </c>
      <c r="AJ8" s="12" t="n">
        <v>108174</v>
      </c>
      <c r="AK8" s="12" t="n">
        <v>1787445</v>
      </c>
      <c r="AL8" s="12" t="n">
        <v>419227</v>
      </c>
      <c r="AM8" s="12" t="n">
        <v>826621</v>
      </c>
      <c r="AN8" s="12" t="n">
        <v>460950</v>
      </c>
      <c r="AO8" s="12" t="n">
        <v>107807</v>
      </c>
      <c r="AP8" s="12" t="n">
        <v>11867395</v>
      </c>
      <c r="AQ8" s="12" t="n">
        <v>3900790</v>
      </c>
      <c r="AR8" s="12" t="n">
        <v>3570193</v>
      </c>
      <c r="AS8" s="12" t="n">
        <v>330597</v>
      </c>
      <c r="AT8" s="12" t="n">
        <v>649051</v>
      </c>
      <c r="AU8" s="9" t="n">
        <f aca="false">AR8+AS8-AQ8</f>
        <v>0</v>
      </c>
      <c r="AV8" s="9" t="n">
        <f aca="false">E8*AO8-AP8</f>
        <v>-0.439999999478459</v>
      </c>
      <c r="AW8" s="9" t="n">
        <f aca="false">AI8-AJ8-AT8</f>
        <v>0</v>
      </c>
    </row>
    <row r="9" customFormat="false" ht="15" hidden="false" customHeight="true" outlineLevel="0" collapsed="false">
      <c r="A9" s="2" t="n">
        <v>2024</v>
      </c>
      <c r="B9" s="9" t="n">
        <f aca="false">AG9/1000</f>
        <v>985.037</v>
      </c>
      <c r="C9" s="9" t="n">
        <f aca="false">AH9/1000</f>
        <v>129.815</v>
      </c>
      <c r="D9" s="9" t="n">
        <f aca="false">B9-C9</f>
        <v>855.222</v>
      </c>
      <c r="E9" s="10" t="n">
        <v>116.04</v>
      </c>
      <c r="F9" s="11" t="n">
        <f aca="false">AO9/1000</f>
        <v>110.121</v>
      </c>
      <c r="G9" s="9" t="n">
        <f aca="false">E9*F9</f>
        <v>12778.44084</v>
      </c>
      <c r="H9" s="12" t="n">
        <v>0</v>
      </c>
      <c r="I9" s="9" t="n">
        <f aca="false">AL9/1000</f>
        <v>401.542</v>
      </c>
      <c r="J9" s="9" t="n">
        <f aca="false">H9+I9</f>
        <v>401.542</v>
      </c>
      <c r="K9" s="9" t="n">
        <f aca="false">G9-J9</f>
        <v>12376.89884</v>
      </c>
      <c r="L9" s="9" t="n">
        <f aca="false">AR9/1000</f>
        <v>3155.233</v>
      </c>
      <c r="M9" s="9" t="n">
        <f aca="false">AS9/1000</f>
        <v>330.358</v>
      </c>
      <c r="N9" s="12" t="n">
        <v>0</v>
      </c>
      <c r="O9" s="9" t="n">
        <f aca="false">SUM(L9:N9)</f>
        <v>3485.591</v>
      </c>
      <c r="P9" s="9" t="n">
        <f aca="false">G9+O9</f>
        <v>16264.03184</v>
      </c>
      <c r="Q9" s="9" t="n">
        <f aca="false">K9+O9</f>
        <v>15862.48984</v>
      </c>
      <c r="R9" s="9" t="n">
        <f aca="false">AI9/1000</f>
        <v>753.996</v>
      </c>
      <c r="S9" s="5" t="s">
        <v>580</v>
      </c>
      <c r="T9" s="5" t="s">
        <v>580</v>
      </c>
      <c r="U9" s="9" t="n">
        <f aca="false">AJ9/1000</f>
        <v>106.403</v>
      </c>
      <c r="V9" s="9" t="n">
        <f aca="false">R9-U9</f>
        <v>647.593</v>
      </c>
      <c r="W9" s="9" t="n">
        <f aca="false">AM9/1000</f>
        <v>774.877</v>
      </c>
      <c r="X9" s="9" t="n">
        <f aca="false">AN9/1000</f>
        <v>450.965</v>
      </c>
      <c r="Y9" s="13" t="n">
        <f aca="false">INDEX('10 YR UST'!$B:$B,MATCH($A9,'10 YR UST'!$A:$A,0))/100</f>
        <v>0.0458</v>
      </c>
      <c r="Z9" s="13" t="n">
        <f aca="false">B9/Q9</f>
        <v>0.0620985110115601</v>
      </c>
      <c r="AA9" s="13" t="n">
        <f aca="false">D9/K9</f>
        <v>0.0690982459383178</v>
      </c>
      <c r="AB9" s="14" t="n">
        <f aca="false">Q9/B9</f>
        <v>16.1034456979789</v>
      </c>
      <c r="AC9" s="14" t="n">
        <f aca="false">K9/D9</f>
        <v>14.472147395647</v>
      </c>
      <c r="AD9" s="15"/>
      <c r="AE9" s="15" t="n">
        <v>0.952</v>
      </c>
      <c r="AG9" s="12" t="n">
        <v>985037</v>
      </c>
      <c r="AH9" s="12" t="n">
        <v>129815</v>
      </c>
      <c r="AI9" s="12" t="n">
        <v>753996</v>
      </c>
      <c r="AJ9" s="12" t="n">
        <v>106403</v>
      </c>
      <c r="AK9" s="12" t="n">
        <v>1722526</v>
      </c>
      <c r="AL9" s="12" t="n">
        <v>401542</v>
      </c>
      <c r="AM9" s="12" t="n">
        <v>774877</v>
      </c>
      <c r="AN9" s="12" t="n">
        <v>450965</v>
      </c>
      <c r="AO9" s="12" t="n">
        <v>110121</v>
      </c>
      <c r="AP9" s="12" t="n">
        <v>12778441</v>
      </c>
      <c r="AQ9" s="12" t="n">
        <v>3485591</v>
      </c>
      <c r="AR9" s="12" t="n">
        <v>3155233</v>
      </c>
      <c r="AS9" s="12" t="n">
        <v>330358</v>
      </c>
      <c r="AT9" s="12" t="n">
        <v>647593</v>
      </c>
      <c r="AU9" s="9" t="n">
        <f aca="false">AR9+AS9-AQ9</f>
        <v>0</v>
      </c>
      <c r="AV9" s="9" t="n">
        <f aca="false">E9*AO9-AP9</f>
        <v>-0.160000000149012</v>
      </c>
      <c r="AW9" s="9" t="n">
        <f aca="false">AI9-AJ9-AT9</f>
        <v>0</v>
      </c>
    </row>
    <row r="10" customFormat="false" ht="15" hidden="false" customHeight="true" outlineLevel="0" collapsed="false">
      <c r="A10" s="2" t="n">
        <v>2023</v>
      </c>
      <c r="B10" s="9" t="n">
        <f aca="false">AG10/1000</f>
        <v>993.107</v>
      </c>
      <c r="C10" s="9" t="n">
        <f aca="false">AH10/1000</f>
        <v>133.395</v>
      </c>
      <c r="D10" s="9" t="n">
        <f aca="false">B10-C10</f>
        <v>859.712</v>
      </c>
      <c r="E10" s="10" t="n">
        <v>99.29</v>
      </c>
      <c r="F10" s="11" t="n">
        <f aca="false">AO10/1000</f>
        <v>110.336</v>
      </c>
      <c r="G10" s="9" t="n">
        <f aca="false">E10*F10</f>
        <v>10955.26144</v>
      </c>
      <c r="H10" s="12" t="n">
        <v>0</v>
      </c>
      <c r="I10" s="9" t="n">
        <f aca="false">AL10/1000</f>
        <v>486.864</v>
      </c>
      <c r="J10" s="9" t="n">
        <f aca="false">H10+I10</f>
        <v>486.864</v>
      </c>
      <c r="K10" s="9" t="n">
        <f aca="false">G10-J10</f>
        <v>10468.39744</v>
      </c>
      <c r="L10" s="9" t="n">
        <f aca="false">AR10/1000</f>
        <v>3385.309</v>
      </c>
      <c r="M10" s="9" t="n">
        <f aca="false">AS10/1000</f>
        <v>330.127</v>
      </c>
      <c r="N10" s="12" t="n">
        <v>0</v>
      </c>
      <c r="O10" s="9" t="n">
        <f aca="false">SUM(L10:N10)</f>
        <v>3715.436</v>
      </c>
      <c r="P10" s="9" t="n">
        <f aca="false">G10+O10</f>
        <v>14670.69744</v>
      </c>
      <c r="Q10" s="9" t="n">
        <f aca="false">K10+O10</f>
        <v>14183.83344</v>
      </c>
      <c r="R10" s="9" t="n">
        <f aca="false">AI10/1000</f>
        <v>751.962</v>
      </c>
      <c r="S10" s="5" t="s">
        <v>580</v>
      </c>
      <c r="T10" s="5" t="s">
        <v>580</v>
      </c>
      <c r="U10" s="9" t="n">
        <f aca="false">AJ10/1000</f>
        <v>97.094</v>
      </c>
      <c r="V10" s="9" t="n">
        <f aca="false">R10-U10</f>
        <v>654.868</v>
      </c>
      <c r="W10" s="9" t="n">
        <f aca="false">AM10/1000</f>
        <v>794.95</v>
      </c>
      <c r="X10" s="9" t="n">
        <f aca="false">AN10/1000</f>
        <v>434.875</v>
      </c>
      <c r="Y10" s="13" t="n">
        <f aca="false">INDEX('10 YR UST'!$B:$B,MATCH($A10,'10 YR UST'!$A:$A,0))/100</f>
        <v>0.0388</v>
      </c>
      <c r="Z10" s="13" t="n">
        <f aca="false">B10/Q10</f>
        <v>0.0700168261423126</v>
      </c>
      <c r="AA10" s="13" t="n">
        <f aca="false">D10/K10</f>
        <v>0.0821245090213159</v>
      </c>
      <c r="AB10" s="14" t="n">
        <f aca="false">Q10/B10</f>
        <v>14.2822812043415</v>
      </c>
      <c r="AC10" s="14" t="n">
        <f aca="false">K10/D10</f>
        <v>12.176632918931</v>
      </c>
      <c r="AD10" s="15"/>
      <c r="AE10" s="15" t="n">
        <v>0.953</v>
      </c>
      <c r="AG10" s="12" t="n">
        <v>993107</v>
      </c>
      <c r="AH10" s="12" t="n">
        <v>133395</v>
      </c>
      <c r="AI10" s="12" t="n">
        <v>751962</v>
      </c>
      <c r="AJ10" s="12" t="n">
        <v>97094</v>
      </c>
      <c r="AK10" s="12" t="n">
        <v>1711873</v>
      </c>
      <c r="AL10" s="12" t="n">
        <v>486864</v>
      </c>
      <c r="AM10" s="12" t="n">
        <v>794950</v>
      </c>
      <c r="AN10" s="12" t="n">
        <v>434875</v>
      </c>
      <c r="AO10" s="12" t="n">
        <v>110336</v>
      </c>
      <c r="AP10" s="12" t="n">
        <v>10955261</v>
      </c>
      <c r="AQ10" s="12" t="n">
        <v>3715436</v>
      </c>
      <c r="AR10" s="12" t="n">
        <v>3385309</v>
      </c>
      <c r="AS10" s="12" t="n">
        <v>330127</v>
      </c>
      <c r="AT10" s="12" t="n">
        <v>654868</v>
      </c>
      <c r="AU10" s="9" t="n">
        <f aca="false">AR10+AS10-AQ10</f>
        <v>0</v>
      </c>
      <c r="AV10" s="9" t="n">
        <f aca="false">E10*AO10-AP10</f>
        <v>0.440000001341105</v>
      </c>
      <c r="AW10" s="9" t="n">
        <f aca="false">AI10-AJ10-AT10</f>
        <v>0</v>
      </c>
    </row>
    <row r="11" customFormat="false" ht="15" hidden="false" customHeight="true" outlineLevel="0" collapsed="false">
      <c r="A11" s="2" t="n">
        <v>2022</v>
      </c>
      <c r="B11" s="9" t="n">
        <f aca="false">AG11/1000</f>
        <v>924.675</v>
      </c>
      <c r="C11" s="9" t="n">
        <f aca="false">AH11/1000</f>
        <v>113.424</v>
      </c>
      <c r="D11" s="9" t="n">
        <f aca="false">B11-C11</f>
        <v>811.251</v>
      </c>
      <c r="E11" s="10" t="n">
        <v>111.88</v>
      </c>
      <c r="F11" s="11" t="n">
        <f aca="false">AO11/1000</f>
        <v>110.135</v>
      </c>
      <c r="G11" s="9" t="n">
        <f aca="false">E11*F11</f>
        <v>12321.9038</v>
      </c>
      <c r="H11" s="12" t="n">
        <v>0</v>
      </c>
      <c r="I11" s="9" t="n">
        <f aca="false">AL11/1000</f>
        <v>524.981</v>
      </c>
      <c r="J11" s="9" t="n">
        <f aca="false">H11+I11</f>
        <v>524.981</v>
      </c>
      <c r="K11" s="9" t="n">
        <f aca="false">G11-J11</f>
        <v>11796.9228</v>
      </c>
      <c r="L11" s="9" t="n">
        <f aca="false">AR11/1000</f>
        <v>3165.924</v>
      </c>
      <c r="M11" s="9" t="n">
        <f aca="false">AS11/1000</f>
        <v>514.989</v>
      </c>
      <c r="N11" s="12" t="n">
        <v>0</v>
      </c>
      <c r="O11" s="9" t="n">
        <f aca="false">SUM(L11:N11)</f>
        <v>3680.913</v>
      </c>
      <c r="P11" s="9" t="n">
        <f aca="false">G11+O11</f>
        <v>16002.8168</v>
      </c>
      <c r="Q11" s="9" t="n">
        <f aca="false">K11+O11</f>
        <v>15477.8358</v>
      </c>
      <c r="R11" s="9" t="n">
        <f aca="false">AI11/1000</f>
        <v>719.612</v>
      </c>
      <c r="S11" s="5" t="s">
        <v>580</v>
      </c>
      <c r="T11" s="5" t="s">
        <v>580</v>
      </c>
      <c r="U11" s="9" t="n">
        <f aca="false">AJ11/1000</f>
        <v>90.715</v>
      </c>
      <c r="V11" s="9" t="n">
        <f aca="false">R11-U11</f>
        <v>628.897</v>
      </c>
      <c r="W11" s="9" t="n">
        <f aca="false">AM11/1000</f>
        <v>744.712</v>
      </c>
      <c r="X11" s="9" t="n">
        <f aca="false">AN11/1000</f>
        <v>396.822</v>
      </c>
      <c r="Y11" s="13" t="n">
        <f aca="false">INDEX('10 YR UST'!$B:$B,MATCH($A11,'10 YR UST'!$A:$A,0))/100</f>
        <v>0.0388</v>
      </c>
      <c r="Z11" s="13" t="n">
        <f aca="false">B11/Q11</f>
        <v>0.0597418794170177</v>
      </c>
      <c r="AA11" s="13" t="n">
        <f aca="false">D11/K11</f>
        <v>0.0687680180461976</v>
      </c>
      <c r="AB11" s="14" t="n">
        <f aca="false">Q11/B11</f>
        <v>16.7386766161084</v>
      </c>
      <c r="AC11" s="14" t="n">
        <f aca="false">K11/D11</f>
        <v>14.5416434617646</v>
      </c>
      <c r="AD11" s="15"/>
      <c r="AE11" s="15" t="n">
        <v>0.966</v>
      </c>
      <c r="AG11" s="12" t="n">
        <v>924675</v>
      </c>
      <c r="AH11" s="12" t="n">
        <v>113424</v>
      </c>
      <c r="AI11" s="12" t="n">
        <v>719612</v>
      </c>
      <c r="AJ11" s="12" t="n">
        <v>90715</v>
      </c>
      <c r="AK11" s="12" t="n">
        <v>1716273</v>
      </c>
      <c r="AL11" s="12" t="n">
        <v>524981</v>
      </c>
      <c r="AM11" s="12" t="n">
        <v>744712</v>
      </c>
      <c r="AN11" s="12" t="n">
        <v>396822</v>
      </c>
      <c r="AO11" s="12" t="n">
        <v>110135</v>
      </c>
      <c r="AP11" s="12" t="n">
        <v>12321904</v>
      </c>
      <c r="AQ11" s="12" t="n">
        <v>3680913</v>
      </c>
      <c r="AR11" s="12" t="n">
        <v>3165924</v>
      </c>
      <c r="AS11" s="12" t="n">
        <v>514989</v>
      </c>
      <c r="AT11" s="12" t="n">
        <v>628897</v>
      </c>
      <c r="AU11" s="9" t="n">
        <f aca="false">AR11+AS11-AQ11</f>
        <v>0</v>
      </c>
      <c r="AV11" s="9" t="n">
        <f aca="false">E11*AO11-AP11</f>
        <v>-0.200000001117587</v>
      </c>
      <c r="AW11" s="9" t="n">
        <f aca="false">AI11-AJ11-AT11</f>
        <v>0</v>
      </c>
    </row>
    <row r="12" customFormat="false" ht="15" hidden="false" customHeight="true" outlineLevel="0" collapsed="false">
      <c r="A12" s="2" t="n">
        <v>2021</v>
      </c>
      <c r="B12" s="9" t="n">
        <f aca="false">AG12/1000</f>
        <v>726.56</v>
      </c>
      <c r="C12" s="9" t="n">
        <f aca="false">AH12/1000</f>
        <v>97.297</v>
      </c>
      <c r="D12" s="9" t="n">
        <f aca="false">B12-C12</f>
        <v>629.263</v>
      </c>
      <c r="E12" s="10" t="n">
        <v>178.68</v>
      </c>
      <c r="F12" s="11" t="n">
        <f aca="false">AO12/1000</f>
        <v>106.97</v>
      </c>
      <c r="G12" s="9" t="n">
        <f aca="false">E12*F12</f>
        <v>19113.3996</v>
      </c>
      <c r="H12" s="12" t="n">
        <v>0</v>
      </c>
      <c r="I12" s="9" t="n">
        <f aca="false">AL12/1000</f>
        <v>474.739</v>
      </c>
      <c r="J12" s="9" t="n">
        <f aca="false">H12+I12</f>
        <v>474.739</v>
      </c>
      <c r="K12" s="9" t="n">
        <f aca="false">G12-J12</f>
        <v>18638.6606</v>
      </c>
      <c r="L12" s="9" t="n">
        <f aca="false">AR12/1000</f>
        <v>3170.367</v>
      </c>
      <c r="M12" s="9" t="n">
        <f aca="false">AS12/1000</f>
        <v>0</v>
      </c>
      <c r="N12" s="12" t="n">
        <v>0</v>
      </c>
      <c r="O12" s="9" t="n">
        <f aca="false">SUM(L12:N12)</f>
        <v>3170.367</v>
      </c>
      <c r="P12" s="9" t="n">
        <f aca="false">G12+O12</f>
        <v>22283.7666</v>
      </c>
      <c r="Q12" s="9" t="n">
        <f aca="false">K12+O12</f>
        <v>21809.0276</v>
      </c>
      <c r="R12" s="9" t="n">
        <f aca="false">AI12/1000</f>
        <v>559.35</v>
      </c>
      <c r="S12" s="5" t="s">
        <v>580</v>
      </c>
      <c r="T12" s="5" t="s">
        <v>580</v>
      </c>
      <c r="U12" s="9" t="n">
        <f aca="false">AJ12/1000</f>
        <v>73.603</v>
      </c>
      <c r="V12" s="9" t="n">
        <f aca="false">R12-U12</f>
        <v>485.747</v>
      </c>
      <c r="W12" s="9" t="n">
        <f aca="false">AM12/1000</f>
        <v>577.467</v>
      </c>
      <c r="X12" s="9" t="n">
        <f aca="false">AN12/1000</f>
        <v>343.039</v>
      </c>
      <c r="Y12" s="13" t="n">
        <f aca="false">INDEX('10 YR UST'!$B:$B,MATCH($A12,'10 YR UST'!$A:$A,0))/100</f>
        <v>0.0152</v>
      </c>
      <c r="Z12" s="13" t="n">
        <f aca="false">B12/Q12</f>
        <v>0.0333146444365085</v>
      </c>
      <c r="AA12" s="13" t="n">
        <f aca="false">D12/K12</f>
        <v>0.0337611705854014</v>
      </c>
      <c r="AB12" s="14" t="n">
        <f aca="false">Q12/B12</f>
        <v>30.016829442854</v>
      </c>
      <c r="AC12" s="14" t="n">
        <f aca="false">K12/D12</f>
        <v>29.6198260504749</v>
      </c>
      <c r="AD12" s="15"/>
      <c r="AE12" s="15" t="n">
        <v>0.968</v>
      </c>
      <c r="AG12" s="12" t="n">
        <v>726560</v>
      </c>
      <c r="AH12" s="12" t="n">
        <v>97297</v>
      </c>
      <c r="AI12" s="12" t="n">
        <v>559350</v>
      </c>
      <c r="AJ12" s="12" t="n">
        <v>73603</v>
      </c>
      <c r="AK12" s="12" t="n">
        <v>1349594</v>
      </c>
      <c r="AL12" s="12" t="n">
        <v>474739</v>
      </c>
      <c r="AM12" s="12" t="n">
        <v>577467</v>
      </c>
      <c r="AN12" s="12" t="n">
        <v>343039</v>
      </c>
      <c r="AO12" s="12" t="n">
        <v>106970</v>
      </c>
      <c r="AP12" s="12" t="n">
        <v>19113400</v>
      </c>
      <c r="AQ12" s="12" t="n">
        <v>3170367</v>
      </c>
      <c r="AR12" s="12" t="n">
        <v>3170367</v>
      </c>
      <c r="AS12" s="12" t="n">
        <v>0</v>
      </c>
      <c r="AT12" s="12" t="n">
        <v>485747</v>
      </c>
      <c r="AU12" s="9" t="n">
        <f aca="false">AR12+AS12-AQ12</f>
        <v>0</v>
      </c>
      <c r="AV12" s="9" t="n">
        <f aca="false">E12*AO12-AP12</f>
        <v>-0.399999998509884</v>
      </c>
      <c r="AW12" s="9" t="n">
        <f aca="false">AI12-AJ12-AT12</f>
        <v>0</v>
      </c>
    </row>
    <row r="13" customFormat="false" ht="15" hidden="false" customHeight="true" outlineLevel="0" collapsed="false">
      <c r="A13" s="2" t="n">
        <v>2020</v>
      </c>
      <c r="B13" s="9" t="n">
        <f aca="false">AG13/1000</f>
        <v>649.011</v>
      </c>
      <c r="C13" s="9" t="n">
        <f aca="false">AH13/1000</f>
        <v>91.526</v>
      </c>
      <c r="D13" s="9" t="n">
        <f aca="false">B13-C13</f>
        <v>557.485</v>
      </c>
      <c r="E13" s="10" t="n">
        <v>99.92</v>
      </c>
      <c r="F13" s="11" t="n">
        <f aca="false">AO13/1000</f>
        <v>101.279</v>
      </c>
      <c r="G13" s="9" t="n">
        <f aca="false">E13*F13</f>
        <v>10119.79768</v>
      </c>
      <c r="H13" s="12" t="n">
        <v>0</v>
      </c>
      <c r="I13" s="9" t="n">
        <f aca="false">AL13/1000</f>
        <v>564.215</v>
      </c>
      <c r="J13" s="9" t="n">
        <f aca="false">H13+I13</f>
        <v>564.215</v>
      </c>
      <c r="K13" s="9" t="n">
        <f aca="false">G13-J13</f>
        <v>9555.58268</v>
      </c>
      <c r="L13" s="9" t="n">
        <f aca="false">AR13/1000</f>
        <v>3166.625</v>
      </c>
      <c r="M13" s="9" t="n">
        <f aca="false">AS13/1000</f>
        <v>0</v>
      </c>
      <c r="N13" s="12" t="n">
        <v>0</v>
      </c>
      <c r="O13" s="9" t="n">
        <f aca="false">SUM(L13:N13)</f>
        <v>3166.625</v>
      </c>
      <c r="P13" s="9" t="n">
        <f aca="false">G13+O13</f>
        <v>13286.42268</v>
      </c>
      <c r="Q13" s="9" t="n">
        <f aca="false">K13+O13</f>
        <v>12722.20768</v>
      </c>
      <c r="R13" s="9" t="n">
        <f aca="false">AI13/1000</f>
        <v>495.732</v>
      </c>
      <c r="S13" s="5" t="s">
        <v>580</v>
      </c>
      <c r="T13" s="5" t="s">
        <v>580</v>
      </c>
      <c r="U13" s="9" t="n">
        <f aca="false">AJ13/1000</f>
        <v>77.525</v>
      </c>
      <c r="V13" s="9" t="n">
        <f aca="false">R13-U13</f>
        <v>418.207</v>
      </c>
      <c r="W13" s="9" t="n">
        <f aca="false">AM13/1000</f>
        <v>519.319</v>
      </c>
      <c r="X13" s="9" t="n">
        <f aca="false">AN13/1000</f>
        <v>333.36</v>
      </c>
      <c r="Y13" s="13" t="n">
        <f aca="false">INDEX('10 YR UST'!$B:$B,MATCH($A13,'10 YR UST'!$A:$A,0))/100</f>
        <v>0.0093</v>
      </c>
      <c r="Z13" s="13" t="n">
        <f aca="false">B13/Q13</f>
        <v>0.0510140233774269</v>
      </c>
      <c r="AA13" s="13" t="n">
        <f aca="false">D13/K13</f>
        <v>0.058341287880521</v>
      </c>
      <c r="AB13" s="14" t="n">
        <f aca="false">Q13/B13</f>
        <v>19.6024530863113</v>
      </c>
      <c r="AC13" s="14" t="n">
        <f aca="false">K13/D13</f>
        <v>17.140519798739</v>
      </c>
      <c r="AD13" s="15"/>
      <c r="AE13" s="15" t="n">
        <v>0.956</v>
      </c>
      <c r="AG13" s="12" t="n">
        <v>649011</v>
      </c>
      <c r="AH13" s="12" t="n">
        <v>91526</v>
      </c>
      <c r="AI13" s="12" t="n">
        <v>495732</v>
      </c>
      <c r="AJ13" s="12" t="n">
        <v>77525</v>
      </c>
      <c r="AK13" s="12" t="n">
        <v>1225214</v>
      </c>
      <c r="AL13" s="12" t="n">
        <v>564215</v>
      </c>
      <c r="AM13" s="12" t="n">
        <v>519319</v>
      </c>
      <c r="AN13" s="12" t="n">
        <v>333360</v>
      </c>
      <c r="AO13" s="12" t="n">
        <v>101279</v>
      </c>
      <c r="AP13" s="12" t="n">
        <v>10119798</v>
      </c>
      <c r="AQ13" s="12" t="n">
        <v>3166625</v>
      </c>
      <c r="AR13" s="12" t="n">
        <v>3166625</v>
      </c>
      <c r="AS13" s="12" t="n">
        <v>0</v>
      </c>
      <c r="AT13" s="12" t="n">
        <v>418207</v>
      </c>
      <c r="AU13" s="9" t="n">
        <f aca="false">AR13+AS13-AQ13</f>
        <v>0</v>
      </c>
      <c r="AV13" s="9" t="n">
        <f aca="false">E13*AO13-AP13</f>
        <v>-0.320000000298023</v>
      </c>
      <c r="AW13" s="9" t="n">
        <f aca="false">AI13-AJ13-AT13</f>
        <v>0</v>
      </c>
    </row>
    <row r="14" customFormat="false" ht="15" hidden="false" customHeight="true" outlineLevel="0" collapsed="false">
      <c r="A14" s="2" t="n">
        <v>2019</v>
      </c>
      <c r="B14" s="9" t="n">
        <f aca="false">AG14/1000</f>
        <v>662.114</v>
      </c>
      <c r="C14" s="9" t="n">
        <f aca="false">AH14/1000</f>
        <v>80.706</v>
      </c>
      <c r="D14" s="9" t="n">
        <f aca="false">B14-C14</f>
        <v>581.408</v>
      </c>
      <c r="E14" s="10" t="n">
        <v>106.1</v>
      </c>
      <c r="F14" s="11" t="n">
        <f aca="false">AO14/1000</f>
        <v>101.091</v>
      </c>
      <c r="G14" s="9" t="n">
        <f aca="false">E14*F14</f>
        <v>10725.7551</v>
      </c>
      <c r="H14" s="12" t="n">
        <v>0</v>
      </c>
      <c r="I14" s="9" t="n">
        <f aca="false">AL14/1000</f>
        <v>512.319</v>
      </c>
      <c r="J14" s="9" t="n">
        <f aca="false">H14+I14</f>
        <v>512.319</v>
      </c>
      <c r="K14" s="9" t="n">
        <f aca="false">G14-J14</f>
        <v>10213.4361</v>
      </c>
      <c r="L14" s="9" t="n">
        <f aca="false">AR14/1000</f>
        <v>2524.099</v>
      </c>
      <c r="M14" s="9" t="n">
        <f aca="false">AS14/1000</f>
        <v>0</v>
      </c>
      <c r="N14" s="12" t="n">
        <v>0</v>
      </c>
      <c r="O14" s="9" t="n">
        <f aca="false">SUM(L14:N14)</f>
        <v>2524.099</v>
      </c>
      <c r="P14" s="9" t="n">
        <f aca="false">G14+O14</f>
        <v>13249.8541</v>
      </c>
      <c r="Q14" s="9" t="n">
        <f aca="false">K14+O14</f>
        <v>12737.5351</v>
      </c>
      <c r="R14" s="9" t="n">
        <f aca="false">AI14/1000</f>
        <v>505.388</v>
      </c>
      <c r="S14" s="5" t="s">
        <v>580</v>
      </c>
      <c r="T14" s="5" t="s">
        <v>580</v>
      </c>
      <c r="U14" s="9" t="n">
        <f aca="false">AJ14/1000</f>
        <v>72.172</v>
      </c>
      <c r="V14" s="9" t="n">
        <f aca="false">R14-U14</f>
        <v>433.216</v>
      </c>
      <c r="W14" s="9" t="n">
        <f aca="false">AM14/1000</f>
        <v>555.597</v>
      </c>
      <c r="X14" s="9" t="n">
        <f aca="false">AN14/1000</f>
        <v>317.253</v>
      </c>
      <c r="Y14" s="13" t="n">
        <f aca="false">INDEX('10 YR UST'!$B:$B,MATCH($A14,'10 YR UST'!$A:$A,0))/100</f>
        <v>0.0192</v>
      </c>
      <c r="Z14" s="13" t="n">
        <f aca="false">B14/Q14</f>
        <v>0.0519813287894296</v>
      </c>
      <c r="AA14" s="13" t="n">
        <f aca="false">D14/K14</f>
        <v>0.0569257979692065</v>
      </c>
      <c r="AB14" s="14" t="n">
        <f aca="false">Q14/B14</f>
        <v>19.2376767444881</v>
      </c>
      <c r="AC14" s="14" t="n">
        <f aca="false">K14/D14</f>
        <v>17.5667278400022</v>
      </c>
      <c r="AD14" s="16"/>
      <c r="AE14" s="15" t="n">
        <v>0.961</v>
      </c>
      <c r="AG14" s="12" t="n">
        <v>662114</v>
      </c>
      <c r="AH14" s="12" t="n">
        <v>80706</v>
      </c>
      <c r="AI14" s="12" t="n">
        <v>505388</v>
      </c>
      <c r="AJ14" s="12" t="n">
        <v>72172</v>
      </c>
      <c r="AK14" s="12" t="n">
        <v>1199384</v>
      </c>
      <c r="AL14" s="12" t="n">
        <v>512319</v>
      </c>
      <c r="AM14" s="12" t="n">
        <v>555597</v>
      </c>
      <c r="AN14" s="12" t="n">
        <v>317253</v>
      </c>
      <c r="AO14" s="12" t="n">
        <v>101091</v>
      </c>
      <c r="AP14" s="12" t="n">
        <v>10725755</v>
      </c>
      <c r="AQ14" s="12" t="n">
        <v>2524099</v>
      </c>
      <c r="AR14" s="12" t="n">
        <v>2524099</v>
      </c>
      <c r="AS14" s="12" t="n">
        <v>0</v>
      </c>
      <c r="AT14" s="12" t="n">
        <v>433216</v>
      </c>
      <c r="AU14" s="9" t="n">
        <f aca="false">AR14+AS14-AQ14</f>
        <v>0</v>
      </c>
      <c r="AV14" s="9" t="n">
        <f aca="false">E14*AO14-AP14</f>
        <v>0.099999999627471</v>
      </c>
      <c r="AW14" s="9" t="n">
        <f aca="false">AI14-AJ14-AT14</f>
        <v>0</v>
      </c>
    </row>
    <row r="15" customFormat="false" ht="15" hidden="false" customHeight="true" outlineLevel="0" collapsed="false">
      <c r="A15" s="2" t="n">
        <v>2018</v>
      </c>
      <c r="B15" s="9" t="n">
        <f aca="false">AG15/1000</f>
        <v>610.926</v>
      </c>
      <c r="C15" s="9" t="n">
        <f aca="false">AH15/1000</f>
        <v>84.263</v>
      </c>
      <c r="D15" s="9" t="n">
        <f aca="false">B15-C15</f>
        <v>526.663</v>
      </c>
      <c r="E15" s="10" t="n">
        <v>88.05</v>
      </c>
      <c r="F15" s="11" t="n">
        <f aca="false">AO15/1000</f>
        <v>97.247</v>
      </c>
      <c r="G15" s="9" t="n">
        <f aca="false">E15*F15</f>
        <v>8562.59835</v>
      </c>
      <c r="H15" s="12" t="n">
        <v>0</v>
      </c>
      <c r="I15" s="9" t="n">
        <f aca="false">AL15/1000</f>
        <v>293.978</v>
      </c>
      <c r="J15" s="9" t="n">
        <f aca="false">H15+I15</f>
        <v>293.978</v>
      </c>
      <c r="K15" s="9" t="n">
        <f aca="false">G15-J15</f>
        <v>8268.62035</v>
      </c>
      <c r="L15" s="9" t="n">
        <f aca="false">AR15/1000</f>
        <v>1836.427</v>
      </c>
      <c r="M15" s="9" t="n">
        <f aca="false">AS15/1000</f>
        <v>485.176</v>
      </c>
      <c r="N15" s="12" t="n">
        <v>0</v>
      </c>
      <c r="O15" s="9" t="n">
        <f aca="false">SUM(L15:N15)</f>
        <v>2321.603</v>
      </c>
      <c r="P15" s="9" t="n">
        <f aca="false">G15+O15</f>
        <v>10884.20135</v>
      </c>
      <c r="Q15" s="9" t="n">
        <f aca="false">K15+O15</f>
        <v>10590.22335</v>
      </c>
      <c r="R15" s="9" t="n">
        <f aca="false">AI15/1000</f>
        <v>463.982</v>
      </c>
      <c r="S15" s="5" t="s">
        <v>580</v>
      </c>
      <c r="T15" s="5" t="s">
        <v>580</v>
      </c>
      <c r="U15" s="9" t="n">
        <f aca="false">AJ15/1000</f>
        <v>72.296</v>
      </c>
      <c r="V15" s="9" t="n">
        <f aca="false">R15-U15</f>
        <v>391.686</v>
      </c>
      <c r="W15" s="9" t="n">
        <f aca="false">AM15/1000</f>
        <v>503.747</v>
      </c>
      <c r="X15" s="9" t="n">
        <f aca="false">AN15/1000</f>
        <v>298.005</v>
      </c>
      <c r="Y15" s="13" t="n">
        <f aca="false">INDEX('10 YR UST'!$B:$B,MATCH($A15,'10 YR UST'!$A:$A,0))/100</f>
        <v>0.0269</v>
      </c>
      <c r="Z15" s="13" t="n">
        <f aca="false">B15/Q15</f>
        <v>0.0576877351694381</v>
      </c>
      <c r="AA15" s="13" t="n">
        <f aca="false">D15/K15</f>
        <v>0.0636941808556974</v>
      </c>
      <c r="AB15" s="14" t="n">
        <f aca="false">Q15/B15</f>
        <v>17.3347072313177</v>
      </c>
      <c r="AC15" s="14" t="n">
        <f aca="false">K15/D15</f>
        <v>15.7000213609082</v>
      </c>
      <c r="AD15" s="16"/>
      <c r="AE15" s="15" t="n">
        <v>0.957</v>
      </c>
      <c r="AG15" s="12" t="n">
        <v>610926</v>
      </c>
      <c r="AH15" s="12" t="n">
        <v>84263</v>
      </c>
      <c r="AI15" s="12" t="n">
        <v>463982</v>
      </c>
      <c r="AJ15" s="12" t="n">
        <v>72296</v>
      </c>
      <c r="AK15" s="12" t="n">
        <v>1098526</v>
      </c>
      <c r="AL15" s="12" t="n">
        <v>293978</v>
      </c>
      <c r="AM15" s="12" t="n">
        <v>503747</v>
      </c>
      <c r="AN15" s="12" t="n">
        <v>298005</v>
      </c>
      <c r="AO15" s="12" t="n">
        <v>97247</v>
      </c>
      <c r="AP15" s="12" t="n">
        <v>8562598</v>
      </c>
      <c r="AQ15" s="12" t="n">
        <v>2321603</v>
      </c>
      <c r="AR15" s="12" t="n">
        <v>1836427</v>
      </c>
      <c r="AS15" s="12" t="n">
        <v>485176</v>
      </c>
      <c r="AT15" s="12" t="n">
        <v>391686</v>
      </c>
      <c r="AU15" s="9" t="n">
        <f aca="false">AR15+AS15-AQ15</f>
        <v>0</v>
      </c>
      <c r="AV15" s="9" t="n">
        <f aca="false">E15*AO15-AP15</f>
        <v>0.349999999627471</v>
      </c>
      <c r="AW15" s="9" t="n">
        <f aca="false">AI15-AJ15-AT15</f>
        <v>0</v>
      </c>
    </row>
    <row r="16" customFormat="false" ht="15" hidden="false" customHeight="true" outlineLevel="0" collapsed="false">
      <c r="A16" s="2" t="n">
        <v>2017</v>
      </c>
      <c r="B16" s="9" t="n">
        <f aca="false">AG16/1000</f>
        <v>572.154</v>
      </c>
      <c r="C16" s="9" t="n">
        <f aca="false">AH16/1000</f>
        <v>86.75</v>
      </c>
      <c r="D16" s="9" t="n">
        <f aca="false">B16-C16</f>
        <v>485.404</v>
      </c>
      <c r="E16" s="10" t="n">
        <v>92.06</v>
      </c>
      <c r="F16" s="11" t="n">
        <f aca="false">AO16/1000</f>
        <v>97.095</v>
      </c>
      <c r="G16" s="9" t="n">
        <f aca="false">E16*F16</f>
        <v>8938.5657</v>
      </c>
      <c r="H16" s="12" t="n">
        <v>0</v>
      </c>
      <c r="I16" s="9" t="n">
        <f aca="false">AL16/1000</f>
        <v>377.231</v>
      </c>
      <c r="J16" s="9" t="n">
        <f aca="false">H16+I16</f>
        <v>377.231</v>
      </c>
      <c r="K16" s="9" t="n">
        <f aca="false">G16-J16</f>
        <v>8561.3347</v>
      </c>
      <c r="L16" s="9" t="n">
        <f aca="false">AR16/1000</f>
        <v>1338.628</v>
      </c>
      <c r="M16" s="9" t="n">
        <f aca="false">AS16/1000</f>
        <v>865.97</v>
      </c>
      <c r="N16" s="12" t="n">
        <v>0</v>
      </c>
      <c r="O16" s="9" t="n">
        <f aca="false">SUM(L16:N16)</f>
        <v>2204.598</v>
      </c>
      <c r="P16" s="9" t="n">
        <f aca="false">G16+O16</f>
        <v>11143.1637</v>
      </c>
      <c r="Q16" s="9" t="n">
        <f aca="false">K16+O16</f>
        <v>10765.9327</v>
      </c>
      <c r="R16" s="9" t="n">
        <f aca="false">AI16/1000</f>
        <v>424.072</v>
      </c>
      <c r="S16" s="5" t="s">
        <v>580</v>
      </c>
      <c r="T16" s="5" t="s">
        <v>580</v>
      </c>
      <c r="U16" s="9" t="n">
        <f aca="false">AJ16/1000</f>
        <v>64.758</v>
      </c>
      <c r="V16" s="9" t="n">
        <f aca="false">R16-U16</f>
        <v>359.314</v>
      </c>
      <c r="W16" s="9" t="n">
        <f aca="false">AM16/1000</f>
        <v>434.656</v>
      </c>
      <c r="X16" s="9" t="n">
        <f aca="false">AN16/1000</f>
        <v>280.761</v>
      </c>
      <c r="Y16" s="13" t="n">
        <f aca="false">INDEX('10 YR UST'!$B:$B,MATCH($A16,'10 YR UST'!$A:$A,0))/100</f>
        <v>0.024</v>
      </c>
      <c r="Z16" s="13" t="n">
        <f aca="false">B16/Q16</f>
        <v>0.0531448612900952</v>
      </c>
      <c r="AA16" s="13" t="n">
        <f aca="false">D16/K16</f>
        <v>0.0566972343693093</v>
      </c>
      <c r="AB16" s="14" t="n">
        <f aca="false">Q16/B16</f>
        <v>18.8164946849974</v>
      </c>
      <c r="AC16" s="14" t="n">
        <f aca="false">K16/D16</f>
        <v>17.6375446020222</v>
      </c>
      <c r="AD16" s="16"/>
      <c r="AE16" s="15" t="n">
        <v>0.955</v>
      </c>
      <c r="AG16" s="12" t="n">
        <v>572154</v>
      </c>
      <c r="AH16" s="12" t="n">
        <v>86750</v>
      </c>
      <c r="AI16" s="12" t="n">
        <v>424072</v>
      </c>
      <c r="AJ16" s="12" t="n">
        <v>64758</v>
      </c>
      <c r="AK16" s="12" t="n">
        <v>1021031</v>
      </c>
      <c r="AL16" s="12" t="n">
        <v>377231</v>
      </c>
      <c r="AM16" s="12" t="n">
        <v>434656</v>
      </c>
      <c r="AN16" s="12" t="n">
        <v>280761</v>
      </c>
      <c r="AO16" s="12" t="n">
        <v>97095</v>
      </c>
      <c r="AP16" s="12" t="n">
        <v>8938565</v>
      </c>
      <c r="AQ16" s="12" t="n">
        <v>2204598</v>
      </c>
      <c r="AR16" s="12" t="n">
        <v>1338628</v>
      </c>
      <c r="AS16" s="12" t="n">
        <v>865970</v>
      </c>
      <c r="AT16" s="12" t="n">
        <v>359314</v>
      </c>
      <c r="AU16" s="9" t="n">
        <f aca="false">AR16+AS16-AQ16</f>
        <v>0</v>
      </c>
      <c r="AV16" s="9" t="n">
        <f aca="false">E16*AO16-AP16</f>
        <v>0.700000001117587</v>
      </c>
      <c r="AW16" s="9" t="n">
        <f aca="false">AI16-AJ16-AT16</f>
        <v>0</v>
      </c>
    </row>
    <row r="17" customFormat="false" ht="15" hidden="false" customHeight="true" outlineLevel="0" collapsed="false">
      <c r="A17" s="2" t="n">
        <v>2016</v>
      </c>
      <c r="B17" s="9" t="n">
        <f aca="false">AG17/1000</f>
        <v>565.092</v>
      </c>
      <c r="C17" s="9" t="n">
        <f aca="false">AH17/1000</f>
        <v>93.145</v>
      </c>
      <c r="D17" s="9" t="n">
        <f aca="false">B17-C17</f>
        <v>471.947</v>
      </c>
      <c r="E17" s="10" t="n">
        <v>84.07</v>
      </c>
      <c r="F17" s="11" t="n">
        <f aca="false">AO17/1000</f>
        <v>91.963</v>
      </c>
      <c r="G17" s="9" t="n">
        <f aca="false">E17*F17</f>
        <v>7731.32941</v>
      </c>
      <c r="H17" s="12" t="n">
        <v>0</v>
      </c>
      <c r="I17" s="9" t="n">
        <f aca="false">AL17/1000</f>
        <v>442.292</v>
      </c>
      <c r="J17" s="9" t="n">
        <f aca="false">H17+I17</f>
        <v>442.292</v>
      </c>
      <c r="K17" s="9" t="n">
        <f aca="false">G17-J17</f>
        <v>7289.03741</v>
      </c>
      <c r="L17" s="9" t="n">
        <f aca="false">AR17/1000</f>
        <v>1583.236</v>
      </c>
      <c r="M17" s="9" t="n">
        <f aca="false">AS17/1000</f>
        <v>897.352</v>
      </c>
      <c r="N17" s="12" t="n">
        <v>0</v>
      </c>
      <c r="O17" s="9" t="n">
        <f aca="false">SUM(L17:N17)</f>
        <v>2480.588</v>
      </c>
      <c r="P17" s="9" t="n">
        <f aca="false">G17+O17</f>
        <v>10211.91741</v>
      </c>
      <c r="Q17" s="9" t="n">
        <f aca="false">K17+O17</f>
        <v>9769.62541</v>
      </c>
      <c r="R17" s="9" t="n">
        <f aca="false">AI17/1000</f>
        <v>425.464</v>
      </c>
      <c r="S17" s="5" t="s">
        <v>580</v>
      </c>
      <c r="T17" s="5" t="s">
        <v>580</v>
      </c>
      <c r="U17" s="9" t="n">
        <f aca="false">AJ17/1000</f>
        <v>59.084</v>
      </c>
      <c r="V17" s="9" t="n">
        <f aca="false">R17-U17</f>
        <v>366.38</v>
      </c>
      <c r="W17" s="9" t="n">
        <f aca="false">AM17/1000</f>
        <v>443.063</v>
      </c>
      <c r="X17" s="9" t="n">
        <f aca="false">AN17/1000</f>
        <v>663.363</v>
      </c>
      <c r="Y17" s="13" t="n">
        <f aca="false">INDEX('10 YR UST'!$B:$B,MATCH($A17,'10 YR UST'!$A:$A,0))/100</f>
        <v>0.0245</v>
      </c>
      <c r="Z17" s="13" t="n">
        <f aca="false">B17/Q17</f>
        <v>0.0578417264004393</v>
      </c>
      <c r="AA17" s="13" t="n">
        <f aca="false">D17/K17</f>
        <v>0.0647475069002287</v>
      </c>
      <c r="AB17" s="14" t="n">
        <f aca="false">Q17/B17</f>
        <v>17.2885572791687</v>
      </c>
      <c r="AC17" s="14" t="n">
        <f aca="false">K17/D17</f>
        <v>15.4446101151189</v>
      </c>
      <c r="AD17" s="16"/>
      <c r="AE17" s="15" t="n">
        <v>0.954</v>
      </c>
      <c r="AG17" s="12" t="n">
        <v>565092</v>
      </c>
      <c r="AH17" s="12" t="n">
        <v>93145</v>
      </c>
      <c r="AI17" s="12" t="n">
        <v>425464</v>
      </c>
      <c r="AJ17" s="12" t="n">
        <v>59084</v>
      </c>
      <c r="AK17" s="12" t="n">
        <v>967375</v>
      </c>
      <c r="AL17" s="12" t="n">
        <v>442292</v>
      </c>
      <c r="AM17" s="12" t="n">
        <v>443063</v>
      </c>
      <c r="AN17" s="12" t="n">
        <v>663363</v>
      </c>
      <c r="AO17" s="12" t="n">
        <v>91963</v>
      </c>
      <c r="AP17" s="12" t="n">
        <v>7731329</v>
      </c>
      <c r="AQ17" s="12" t="n">
        <v>2480588</v>
      </c>
      <c r="AR17" s="12" t="n">
        <v>1583236</v>
      </c>
      <c r="AS17" s="12" t="n">
        <v>897352</v>
      </c>
      <c r="AT17" s="12" t="n">
        <v>366380</v>
      </c>
      <c r="AU17" s="9" t="n">
        <f aca="false">AR17+AS17-AQ17</f>
        <v>0</v>
      </c>
      <c r="AV17" s="9" t="n">
        <f aca="false">E17*AO17-AP17</f>
        <v>0.409999999217689</v>
      </c>
      <c r="AW17" s="9" t="n">
        <f aca="false">AI17-AJ17-AT17</f>
        <v>0</v>
      </c>
    </row>
    <row r="20" customFormat="false" ht="15" hidden="false" customHeight="true" outlineLevel="0" collapsed="false">
      <c r="A20" s="2" t="s">
        <v>581</v>
      </c>
    </row>
    <row r="21" customFormat="false" ht="15" hidden="false" customHeight="true" outlineLevel="0" collapsed="false">
      <c r="A21" s="5" t="s">
        <v>694</v>
      </c>
    </row>
    <row r="22" customFormat="false" ht="15" hidden="false" customHeight="true" outlineLevel="0" collapsed="false">
      <c r="A22" s="5" t="s">
        <v>695</v>
      </c>
    </row>
    <row r="23" customFormat="false" ht="15" hidden="false" customHeight="true" outlineLevel="0" collapsed="false">
      <c r="A23" s="5" t="s">
        <v>696</v>
      </c>
    </row>
    <row r="24" customFormat="false" ht="15" hidden="false" customHeight="true" outlineLevel="0" collapsed="false">
      <c r="A24" s="5" t="s">
        <v>697</v>
      </c>
    </row>
    <row r="25" customFormat="false" ht="15" hidden="false" customHeight="true" outlineLevel="0" collapsed="false">
      <c r="A25" s="5" t="s">
        <v>698</v>
      </c>
    </row>
    <row r="26" customFormat="false" ht="15" hidden="false" customHeight="true" outlineLevel="0" collapsed="false">
      <c r="A26" s="5" t="s">
        <v>699</v>
      </c>
    </row>
    <row r="27" customFormat="false" ht="15" hidden="false" customHeight="true" outlineLevel="0" collapsed="false">
      <c r="A27" s="5" t="s">
        <v>700</v>
      </c>
    </row>
    <row r="28" customFormat="false" ht="15" hidden="false" customHeight="true" outlineLevel="0" collapsed="false">
      <c r="A28" s="5" t="s">
        <v>701</v>
      </c>
    </row>
    <row r="29" customFormat="false" ht="15" hidden="false" customHeight="true" outlineLevel="0" collapsed="false">
      <c r="A29" s="5" t="s">
        <v>702</v>
      </c>
    </row>
    <row r="30" customFormat="false" ht="15" hidden="false" customHeight="true" outlineLevel="0" collapsed="false">
      <c r="A30" s="5" t="s">
        <v>703</v>
      </c>
    </row>
    <row r="31" customFormat="false" ht="15" hidden="false" customHeight="true" outlineLevel="0" collapsed="false">
      <c r="A31" s="5" t="s">
        <v>704</v>
      </c>
    </row>
    <row r="32" customFormat="false" ht="15" hidden="false" customHeight="true" outlineLevel="0" collapsed="false">
      <c r="A32" s="5" t="s">
        <v>705</v>
      </c>
    </row>
    <row r="33" customFormat="false" ht="15" hidden="false" customHeight="true" outlineLevel="0" collapsed="false">
      <c r="A33" s="5" t="s">
        <v>706</v>
      </c>
    </row>
    <row r="34" customFormat="false" ht="15" hidden="false" customHeight="true" outlineLevel="0" collapsed="false">
      <c r="A34" s="5" t="s">
        <v>599</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C4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29" min="1" style="1" width="15"/>
  </cols>
  <sheetData>
    <row r="1" customFormat="false" ht="15" hidden="false" customHeight="true" outlineLevel="0" collapsed="false">
      <c r="A1" s="4" t="s">
        <v>707</v>
      </c>
    </row>
    <row r="2" customFormat="false" ht="15" hidden="false" customHeight="true" outlineLevel="0" collapsed="false">
      <c r="A2" s="17" t="s">
        <v>708</v>
      </c>
    </row>
    <row r="3" customFormat="false" ht="75" hidden="false" customHeight="true" outlineLevel="0" collapsed="false">
      <c r="A3" s="8" t="s">
        <v>533</v>
      </c>
      <c r="B3" s="8" t="s">
        <v>709</v>
      </c>
      <c r="C3" s="8" t="s">
        <v>557</v>
      </c>
      <c r="D3" s="8" t="s">
        <v>603</v>
      </c>
      <c r="E3" s="8" t="s">
        <v>710</v>
      </c>
      <c r="F3" s="8" t="s">
        <v>605</v>
      </c>
      <c r="G3" s="8" t="s">
        <v>606</v>
      </c>
      <c r="H3" s="8" t="s">
        <v>607</v>
      </c>
      <c r="I3" s="8" t="s">
        <v>608</v>
      </c>
      <c r="J3" s="8" t="s">
        <v>560</v>
      </c>
      <c r="K3" s="8" t="s">
        <v>561</v>
      </c>
      <c r="L3" s="8" t="s">
        <v>534</v>
      </c>
      <c r="M3" s="8" t="s">
        <v>549</v>
      </c>
      <c r="N3" s="8" t="s">
        <v>536</v>
      </c>
      <c r="O3" s="8" t="s">
        <v>543</v>
      </c>
      <c r="P3" s="8" t="s">
        <v>609</v>
      </c>
      <c r="Q3" s="8" t="s">
        <v>610</v>
      </c>
      <c r="R3" s="8" t="s">
        <v>611</v>
      </c>
      <c r="S3" s="8" t="s">
        <v>612</v>
      </c>
      <c r="T3" s="8" t="s">
        <v>613</v>
      </c>
      <c r="U3" s="8" t="s">
        <v>614</v>
      </c>
      <c r="V3" s="8" t="s">
        <v>615</v>
      </c>
      <c r="W3" s="8" t="s">
        <v>616</v>
      </c>
      <c r="X3" s="8" t="s">
        <v>617</v>
      </c>
      <c r="Y3" s="8" t="s">
        <v>618</v>
      </c>
      <c r="Z3" s="8" t="s">
        <v>619</v>
      </c>
      <c r="AA3" s="8" t="s">
        <v>620</v>
      </c>
      <c r="AB3" s="8" t="s">
        <v>621</v>
      </c>
      <c r="AC3" s="8" t="s">
        <v>622</v>
      </c>
    </row>
    <row r="4" customFormat="false" ht="15" hidden="false" customHeight="true" outlineLevel="0" collapsed="false">
      <c r="A4" s="2" t="n">
        <v>2016</v>
      </c>
      <c r="B4" s="13" t="n">
        <f aca="false">INDEX(CPT!$Z$8:$Z$17,MATCH($A4,CPT!$A$8:$A$17,0))</f>
        <v>0.0578417264004393</v>
      </c>
      <c r="C4" s="13" t="n">
        <f aca="false">INDEX(CPT!$Y$8:$Y$17,MATCH($A4,CPT!$A$8:$A$17,0))</f>
        <v>0.0245</v>
      </c>
      <c r="D4" s="13" t="n">
        <f aca="false">B4-C4</f>
        <v>0.0333417264004393</v>
      </c>
      <c r="E4" s="13" t="n">
        <f aca="false">INDEX(CPT!$AA$8:$AA$17,MATCH($A4,CPT!$A$8:$A$17,0))</f>
        <v>0.0647475069002287</v>
      </c>
      <c r="F4" s="13" t="n">
        <f aca="false">E4-B4</f>
        <v>0.00690578049978935</v>
      </c>
      <c r="G4" s="13" t="n">
        <f aca="false">INDEX('Costar - US Multifamily'!$F$2:$F$34,MATCH($A4,'Costar - US Multifamily'!$A$2:$A$34,0))</f>
        <v>0.0661997473427734</v>
      </c>
      <c r="H4" s="13" t="n">
        <f aca="false">INDEX('Costar - US Multifamily'!$I$2:$I$34,MATCH($A4,'Costar - US Multifamily'!$A$2:$A$34,0))</f>
        <v>0.0275386662713405</v>
      </c>
      <c r="I4" s="13" t="n">
        <f aca="false">INDEX('Costar - US Multifamily'!$C$2:$C$34,MATCH($A4,'Costar - US Multifamily'!$A$2:$A$34,0))/INDEX('Costar - US Multifamily'!$B$2:$B$34,MATCH($A4,'Costar - US Multifamily'!$A$2:$A$34,0))</f>
        <v>0.0205364859117959</v>
      </c>
      <c r="J4" s="18" t="n">
        <f aca="false">INDEX(CPT!$AB$8:$AB$17,MATCH($A4,CPT!$A$8:$A$17,0))</f>
        <v>17.2885572791687</v>
      </c>
      <c r="K4" s="18" t="n">
        <f aca="false">INDEX(CPT!$AC$8:$AC$17,MATCH($A4,CPT!$A$8:$A$17,0))</f>
        <v>15.4446101151189</v>
      </c>
      <c r="L4" s="9" t="n">
        <f aca="false">INDEX(CPT!$B$8:$B$17,MATCH($A4,CPT!$A$8:$A$17,0))</f>
        <v>565.092</v>
      </c>
      <c r="M4" s="9" t="n">
        <f aca="false">INDEX(CPT!$Q$8:$Q$17,MATCH($A4,CPT!$A$8:$A$17,0))</f>
        <v>9769.62541</v>
      </c>
      <c r="N4" s="9" t="n">
        <f aca="false">INDEX(CPT!$D$8:$D$17,MATCH($A4,CPT!$A$8:$A$17,0))</f>
        <v>471.947</v>
      </c>
      <c r="O4" s="9" t="n">
        <f aca="false">INDEX(CPT!$K$8:$K$17,MATCH($A4,CPT!$A$8:$A$17,0))</f>
        <v>7289.03741</v>
      </c>
      <c r="P4" s="13" t="n">
        <f aca="false">INDEX('Prime Rate'!$B$2:$B$13,MATCH($A4,'Prime Rate'!$A$2:$A$13,0))/100</f>
        <v>0.0351</v>
      </c>
      <c r="Q4" s="9" t="n">
        <f aca="false">M4-L4</f>
        <v>9204.53341</v>
      </c>
      <c r="R4" s="9" t="n">
        <f aca="false">O4-N4</f>
        <v>6817.09041</v>
      </c>
      <c r="S4" s="13" t="n">
        <f aca="false">INDEX(Inflation!$G$4:$G$21,MATCH($A4,Inflation!$A$4:$A$21,0))</f>
        <v>0.0126707791495431</v>
      </c>
      <c r="T4" s="13" t="n">
        <f aca="false">INDEX('Green Street National'!$D$4:$D$18,MATCH($A4,'Green Street National'!$A$4:$A$18,0))</f>
        <v>0.04852258</v>
      </c>
      <c r="U4" s="18" t="n">
        <f aca="false">INDEX('Green Street National'!$F$4:$F$18,MATCH($A4,'Green Street National'!$A$4:$A$18,0))</f>
        <v>100</v>
      </c>
      <c r="V4" s="18" t="n">
        <f aca="false">INDEX(Inflation!$D$4:$D$21,MATCH($A4,Inflation!$A$4:$A$21,0))</f>
        <v>100</v>
      </c>
      <c r="W4" s="18" t="n">
        <f aca="false">INDEX(Inflation!$E$4:$E$21,MATCH($A4,Inflation!$A$4:$A$21,0))</f>
        <v>100</v>
      </c>
      <c r="X4" s="18" t="n">
        <f aca="false">INDEX('Costar - US Multifamily'!$H$2:$H$34,MATCH($A4,'Costar - US Multifamily'!$A$2:$A$34,0))/INDEX('Costar - US Multifamily'!$H$2:$H$34,MATCH(2016,'Costar - US Multifamily'!$A$2:$A$34,0))*100</f>
        <v>100</v>
      </c>
      <c r="Y4" s="13" t="n">
        <f aca="false">INDEX('Green Street National'!$C$4:$C$18,MATCH($A4,'Green Street National'!$A$4:$A$18,0))</f>
        <v>0.01663905</v>
      </c>
      <c r="Z4" s="13" t="n">
        <f aca="false">INDEX('Costar - US Multifamily'!$F$2:$F$34,MATCH($A4-1,'Costar - US Multifamily'!$A$2:$A$34,0))-INDEX('Costar - US Multifamily'!$F$2:$F$34,MATCH($A4,'Costar - US Multifamily'!$A$2:$A$34,0))</f>
        <v>-0.0032131800575991</v>
      </c>
      <c r="AA4" s="9" t="n">
        <f aca="false">INDEX('Costar - US Multifamily'!$H$2:$H$34,MATCH($A4,'Costar - US Multifamily'!$A$2:$A$34,0))</f>
        <v>1376.36653028372</v>
      </c>
      <c r="AB4" s="19" t="n">
        <f aca="false">1-INDEX('Costar - US Multifamily'!$F$2:$F$34,MATCH($A4,'Costar - US Multifamily'!$A$2:$A$34,0))</f>
        <v>0.933800252657227</v>
      </c>
      <c r="AC4" s="18" t="n">
        <f aca="false">100</f>
        <v>100</v>
      </c>
    </row>
    <row r="5" customFormat="false" ht="15" hidden="false" customHeight="true" outlineLevel="0" collapsed="false">
      <c r="A5" s="2" t="n">
        <v>2017</v>
      </c>
      <c r="B5" s="13" t="n">
        <f aca="false">INDEX(CPT!$Z$8:$Z$17,MATCH($A5,CPT!$A$8:$A$17,0))</f>
        <v>0.0531448612900952</v>
      </c>
      <c r="C5" s="13" t="n">
        <f aca="false">INDEX(CPT!$Y$8:$Y$17,MATCH($A5,CPT!$A$8:$A$17,0))</f>
        <v>0.024</v>
      </c>
      <c r="D5" s="13" t="n">
        <f aca="false">B5-C5</f>
        <v>0.0291448612900952</v>
      </c>
      <c r="E5" s="13" t="n">
        <f aca="false">INDEX(CPT!$AA$8:$AA$17,MATCH($A5,CPT!$A$8:$A$17,0))</f>
        <v>0.0566972343693093</v>
      </c>
      <c r="F5" s="13" t="n">
        <f aca="false">E5-B5</f>
        <v>0.00355237307921407</v>
      </c>
      <c r="G5" s="13" t="n">
        <f aca="false">INDEX('Costar - US Multifamily'!$F$2:$F$34,MATCH($A5,'Costar - US Multifamily'!$A$2:$A$34,0))</f>
        <v>0.0682590756692329</v>
      </c>
      <c r="H5" s="13" t="n">
        <f aca="false">INDEX('Costar - US Multifamily'!$I$2:$I$34,MATCH($A5,'Costar - US Multifamily'!$A$2:$A$34,0))</f>
        <v>0.0270137577423179</v>
      </c>
      <c r="I5" s="13" t="n">
        <f aca="false">INDEX('Costar - US Multifamily'!$C$2:$C$34,MATCH($A5,'Costar - US Multifamily'!$A$2:$A$34,0))/INDEX('Costar - US Multifamily'!$B$2:$B$34,MATCH($A5,'Costar - US Multifamily'!$A$2:$A$34,0))</f>
        <v>0.0224537348225863</v>
      </c>
      <c r="J5" s="18" t="n">
        <f aca="false">INDEX(CPT!$AB$8:$AB$17,MATCH($A5,CPT!$A$8:$A$17,0))</f>
        <v>18.8164946849974</v>
      </c>
      <c r="K5" s="18" t="n">
        <f aca="false">INDEX(CPT!$AC$8:$AC$17,MATCH($A5,CPT!$A$8:$A$17,0))</f>
        <v>17.6375446020222</v>
      </c>
      <c r="L5" s="9" t="n">
        <f aca="false">INDEX(CPT!$B$8:$B$17,MATCH($A5,CPT!$A$8:$A$17,0))</f>
        <v>572.154</v>
      </c>
      <c r="M5" s="9" t="n">
        <f aca="false">INDEX(CPT!$Q$8:$Q$17,MATCH($A5,CPT!$A$8:$A$17,0))</f>
        <v>10765.9327</v>
      </c>
      <c r="N5" s="9" t="n">
        <f aca="false">INDEX(CPT!$D$8:$D$17,MATCH($A5,CPT!$A$8:$A$17,0))</f>
        <v>485.404</v>
      </c>
      <c r="O5" s="9" t="n">
        <f aca="false">INDEX(CPT!$K$8:$K$17,MATCH($A5,CPT!$A$8:$A$17,0))</f>
        <v>8561.3347</v>
      </c>
      <c r="P5" s="13" t="n">
        <f aca="false">INDEX('Prime Rate'!$B$2:$B$13,MATCH($A5,'Prime Rate'!$A$2:$A$13,0))/100</f>
        <v>0.041</v>
      </c>
      <c r="Q5" s="9" t="n">
        <f aca="false">M5-L5</f>
        <v>10193.7787</v>
      </c>
      <c r="R5" s="9" t="n">
        <f aca="false">O5-N5</f>
        <v>8075.9307</v>
      </c>
      <c r="S5" s="13" t="n">
        <f aca="false">INDEX(Inflation!$G$4:$G$21,MATCH($A5,Inflation!$A$4:$A$21,0))</f>
        <v>0.0213162225786963</v>
      </c>
      <c r="T5" s="13" t="n">
        <f aca="false">INDEX('Green Street National'!$D$4:$D$18,MATCH($A5,'Green Street National'!$A$4:$A$18,0))</f>
        <v>0.0501092</v>
      </c>
      <c r="U5" s="18" t="n">
        <f aca="false">INDEX('Green Street National'!$F$4:$F$18,MATCH($A5,'Green Street National'!$A$4:$A$18,0))</f>
        <v>99.9419598056238</v>
      </c>
      <c r="V5" s="18" t="n">
        <f aca="false">INDEX(Inflation!$D$4:$D$21,MATCH($A5,Inflation!$A$4:$A$21,0))</f>
        <v>102.196167016261</v>
      </c>
      <c r="W5" s="18" t="n">
        <f aca="false">INDEX(Inflation!$E$4:$E$21,MATCH($A5,Inflation!$A$4:$A$21,0))</f>
        <v>102.13162225787</v>
      </c>
      <c r="X5" s="18" t="n">
        <f aca="false">INDEX('Costar - US Multifamily'!$H$2:$H$34,MATCH($A5,'Costar - US Multifamily'!$A$2:$A$34,0))/INDEX('Costar - US Multifamily'!$H$2:$H$34,MATCH(2016,'Costar - US Multifamily'!$A$2:$A$34,0))*100</f>
        <v>102.701375774232</v>
      </c>
      <c r="Y5" s="13" t="n">
        <f aca="false">INDEX('Green Street National'!$C$4:$C$18,MATCH($A5,'Green Street National'!$A$4:$A$18,0))</f>
        <v>0.0191307</v>
      </c>
      <c r="Z5" s="13" t="n">
        <f aca="false">INDEX('Costar - US Multifamily'!$F$2:$F$34,MATCH($A5-1,'Costar - US Multifamily'!$A$2:$A$34,0))-INDEX('Costar - US Multifamily'!$F$2:$F$34,MATCH($A5,'Costar - US Multifamily'!$A$2:$A$34,0))</f>
        <v>-0.0020593283264595</v>
      </c>
      <c r="AA5" s="9" t="n">
        <f aca="false">INDEX('Costar - US Multifamily'!$H$2:$H$34,MATCH($A5,'Costar - US Multifamily'!$A$2:$A$34,0))</f>
        <v>1413.54736229744</v>
      </c>
      <c r="AB5" s="19" t="n">
        <f aca="false">1-INDEX('Costar - US Multifamily'!$F$2:$F$34,MATCH($A5,'Costar - US Multifamily'!$A$2:$A$34,0))</f>
        <v>0.931740924330767</v>
      </c>
      <c r="AC5" s="18" t="n">
        <f aca="false">AC4*(1+Y5)</f>
        <v>101.91307</v>
      </c>
    </row>
    <row r="6" customFormat="false" ht="15" hidden="false" customHeight="true" outlineLevel="0" collapsed="false">
      <c r="A6" s="2" t="n">
        <v>2018</v>
      </c>
      <c r="B6" s="13" t="n">
        <f aca="false">INDEX(CPT!$Z$8:$Z$17,MATCH($A6,CPT!$A$8:$A$17,0))</f>
        <v>0.0576877351694381</v>
      </c>
      <c r="C6" s="13" t="n">
        <f aca="false">INDEX(CPT!$Y$8:$Y$17,MATCH($A6,CPT!$A$8:$A$17,0))</f>
        <v>0.0269</v>
      </c>
      <c r="D6" s="13" t="n">
        <f aca="false">B6-C6</f>
        <v>0.0307877351694381</v>
      </c>
      <c r="E6" s="13" t="n">
        <f aca="false">INDEX(CPT!$AA$8:$AA$17,MATCH($A6,CPT!$A$8:$A$17,0))</f>
        <v>0.0636941808556974</v>
      </c>
      <c r="F6" s="13" t="n">
        <f aca="false">E6-B6</f>
        <v>0.00600644568625926</v>
      </c>
      <c r="G6" s="13" t="n">
        <f aca="false">INDEX('Costar - US Multifamily'!$F$2:$F$34,MATCH($A6,'Costar - US Multifamily'!$A$2:$A$34,0))</f>
        <v>0.0657917059913334</v>
      </c>
      <c r="H6" s="13" t="n">
        <f aca="false">INDEX('Costar - US Multifamily'!$I$2:$I$34,MATCH($A6,'Costar - US Multifamily'!$A$2:$A$34,0))</f>
        <v>0.0295746844416102</v>
      </c>
      <c r="I6" s="13" t="n">
        <f aca="false">INDEX('Costar - US Multifamily'!$C$2:$C$34,MATCH($A6,'Costar - US Multifamily'!$A$2:$A$34,0))/INDEX('Costar - US Multifamily'!$B$2:$B$34,MATCH($A6,'Costar - US Multifamily'!$A$2:$A$34,0))</f>
        <v>0.0215124978650679</v>
      </c>
      <c r="J6" s="18" t="n">
        <f aca="false">INDEX(CPT!$AB$8:$AB$17,MATCH($A6,CPT!$A$8:$A$17,0))</f>
        <v>17.3347072313177</v>
      </c>
      <c r="K6" s="18" t="n">
        <f aca="false">INDEX(CPT!$AC$8:$AC$17,MATCH($A6,CPT!$A$8:$A$17,0))</f>
        <v>15.7000213609082</v>
      </c>
      <c r="L6" s="9" t="n">
        <f aca="false">INDEX(CPT!$B$8:$B$17,MATCH($A6,CPT!$A$8:$A$17,0))</f>
        <v>610.926</v>
      </c>
      <c r="M6" s="9" t="n">
        <f aca="false">INDEX(CPT!$Q$8:$Q$17,MATCH($A6,CPT!$A$8:$A$17,0))</f>
        <v>10590.22335</v>
      </c>
      <c r="N6" s="9" t="n">
        <f aca="false">INDEX(CPT!$D$8:$D$17,MATCH($A6,CPT!$A$8:$A$17,0))</f>
        <v>526.663</v>
      </c>
      <c r="O6" s="9" t="n">
        <f aca="false">INDEX(CPT!$K$8:$K$17,MATCH($A6,CPT!$A$8:$A$17,0))</f>
        <v>8268.62035</v>
      </c>
      <c r="P6" s="13" t="n">
        <f aca="false">INDEX('Prime Rate'!$B$2:$B$13,MATCH($A6,'Prime Rate'!$A$2:$A$13,0))/100</f>
        <v>0.049</v>
      </c>
      <c r="Q6" s="9" t="n">
        <f aca="false">M6-L6</f>
        <v>9979.29735</v>
      </c>
      <c r="R6" s="9" t="n">
        <f aca="false">O6-N6</f>
        <v>7741.95735</v>
      </c>
      <c r="S6" s="13" t="n">
        <f aca="false">INDEX(Inflation!$G$4:$G$21,MATCH($A6,Inflation!$A$4:$A$21,0))</f>
        <v>0.0243920349541655</v>
      </c>
      <c r="T6" s="13" t="n">
        <f aca="false">INDEX('Green Street National'!$D$4:$D$18,MATCH($A6,'Green Street National'!$A$4:$A$18,0))</f>
        <v>0.04923149</v>
      </c>
      <c r="U6" s="18" t="n">
        <f aca="false">INDEX('Green Street National'!$F$4:$F$18,MATCH($A6,'Green Street National'!$A$4:$A$18,0))</f>
        <v>105.350134707176</v>
      </c>
      <c r="V6" s="18" t="n">
        <f aca="false">INDEX(Inflation!$D$4:$D$21,MATCH($A6,Inflation!$A$4:$A$21,0))</f>
        <v>106.491690421126</v>
      </c>
      <c r="W6" s="18" t="n">
        <f aca="false">INDEX(Inflation!$E$4:$E$21,MATCH($A6,Inflation!$A$4:$A$21,0))</f>
        <v>104.622820357909</v>
      </c>
      <c r="X6" s="18" t="n">
        <f aca="false">INDEX('Costar - US Multifamily'!$H$2:$H$34,MATCH($A6,'Costar - US Multifamily'!$A$2:$A$34,0))/INDEX('Costar - US Multifamily'!$H$2:$H$34,MATCH(2016,'Costar - US Multifamily'!$A$2:$A$34,0))*100</f>
        <v>105.738736554474</v>
      </c>
      <c r="Y6" s="13" t="n">
        <f aca="false">INDEX('Green Street National'!$C$4:$C$18,MATCH($A6,'Green Street National'!$A$4:$A$18,0))</f>
        <v>0.03557689</v>
      </c>
      <c r="Z6" s="13" t="n">
        <f aca="false">INDEX('Costar - US Multifamily'!$F$2:$F$34,MATCH($A6-1,'Costar - US Multifamily'!$A$2:$A$34,0))-INDEX('Costar - US Multifamily'!$F$2:$F$34,MATCH($A6,'Costar - US Multifamily'!$A$2:$A$34,0))</f>
        <v>0.0024673696778995</v>
      </c>
      <c r="AA6" s="9" t="n">
        <f aca="false">INDEX('Costar - US Multifamily'!$H$2:$H$34,MATCH($A6,'Costar - US Multifamily'!$A$2:$A$34,0))</f>
        <v>1455.35257948066</v>
      </c>
      <c r="AB6" s="19" t="n">
        <f aca="false">1-INDEX('Costar - US Multifamily'!$F$2:$F$34,MATCH($A6,'Costar - US Multifamily'!$A$2:$A$34,0))</f>
        <v>0.934208294008667</v>
      </c>
      <c r="AC6" s="18" t="n">
        <f aca="false">AC5*(1+Y6)</f>
        <v>105.538820080952</v>
      </c>
    </row>
    <row r="7" customFormat="false" ht="15" hidden="false" customHeight="true" outlineLevel="0" collapsed="false">
      <c r="A7" s="2" t="n">
        <v>2019</v>
      </c>
      <c r="B7" s="13" t="n">
        <f aca="false">INDEX(CPT!$Z$8:$Z$17,MATCH($A7,CPT!$A$8:$A$17,0))</f>
        <v>0.0519813287894296</v>
      </c>
      <c r="C7" s="13" t="n">
        <f aca="false">INDEX(CPT!$Y$8:$Y$17,MATCH($A7,CPT!$A$8:$A$17,0))</f>
        <v>0.0192</v>
      </c>
      <c r="D7" s="13" t="n">
        <f aca="false">B7-C7</f>
        <v>0.0327813287894296</v>
      </c>
      <c r="E7" s="13" t="n">
        <f aca="false">INDEX(CPT!$AA$8:$AA$17,MATCH($A7,CPT!$A$8:$A$17,0))</f>
        <v>0.0569257979692065</v>
      </c>
      <c r="F7" s="13" t="n">
        <f aca="false">E7-B7</f>
        <v>0.00494446917977687</v>
      </c>
      <c r="G7" s="13" t="n">
        <f aca="false">INDEX('Costar - US Multifamily'!$F$2:$F$34,MATCH($A7,'Costar - US Multifamily'!$A$2:$A$34,0))</f>
        <v>0.0660913728926952</v>
      </c>
      <c r="H7" s="13" t="n">
        <f aca="false">INDEX('Costar - US Multifamily'!$I$2:$I$34,MATCH($A7,'Costar - US Multifamily'!$A$2:$A$34,0))</f>
        <v>0.0255336196070635</v>
      </c>
      <c r="I7" s="13" t="n">
        <f aca="false">INDEX('Costar - US Multifamily'!$C$2:$C$34,MATCH($A7,'Costar - US Multifamily'!$A$2:$A$34,0))/INDEX('Costar - US Multifamily'!$B$2:$B$34,MATCH($A7,'Costar - US Multifamily'!$A$2:$A$34,0))</f>
        <v>0.0212600170808678</v>
      </c>
      <c r="J7" s="18" t="n">
        <f aca="false">INDEX(CPT!$AB$8:$AB$17,MATCH($A7,CPT!$A$8:$A$17,0))</f>
        <v>19.2376767444881</v>
      </c>
      <c r="K7" s="18" t="n">
        <f aca="false">INDEX(CPT!$AC$8:$AC$17,MATCH($A7,CPT!$A$8:$A$17,0))</f>
        <v>17.5667278400022</v>
      </c>
      <c r="L7" s="9" t="n">
        <f aca="false">INDEX(CPT!$B$8:$B$17,MATCH($A7,CPT!$A$8:$A$17,0))</f>
        <v>662.114</v>
      </c>
      <c r="M7" s="9" t="n">
        <f aca="false">INDEX(CPT!$Q$8:$Q$17,MATCH($A7,CPT!$A$8:$A$17,0))</f>
        <v>12737.5351</v>
      </c>
      <c r="N7" s="9" t="n">
        <f aca="false">INDEX(CPT!$D$8:$D$17,MATCH($A7,CPT!$A$8:$A$17,0))</f>
        <v>581.408</v>
      </c>
      <c r="O7" s="9" t="n">
        <f aca="false">INDEX(CPT!$K$8:$K$17,MATCH($A7,CPT!$A$8:$A$17,0))</f>
        <v>10213.4361</v>
      </c>
      <c r="P7" s="13" t="n">
        <f aca="false">INDEX('Prime Rate'!$B$2:$B$13,MATCH($A7,'Prime Rate'!$A$2:$A$13,0))/100</f>
        <v>0.0528</v>
      </c>
      <c r="Q7" s="9" t="n">
        <f aca="false">M7-L7</f>
        <v>12075.4211</v>
      </c>
      <c r="R7" s="9" t="n">
        <f aca="false">O7-N7</f>
        <v>9632.0281</v>
      </c>
      <c r="S7" s="13" t="n">
        <f aca="false">INDEX(Inflation!$G$4:$G$21,MATCH($A7,Inflation!$A$4:$A$21,0))</f>
        <v>0.0181322182397452</v>
      </c>
      <c r="T7" s="13" t="n">
        <f aca="false">INDEX('Green Street National'!$D$4:$D$18,MATCH($A7,'Green Street National'!$A$4:$A$18,0))</f>
        <v>0.0475775</v>
      </c>
      <c r="U7" s="18" t="n">
        <f aca="false">INDEX('Green Street National'!$F$4:$F$18,MATCH($A7,'Green Street National'!$A$4:$A$18,0))</f>
        <v>111.012161577111</v>
      </c>
      <c r="V7" s="18" t="n">
        <f aca="false">INDEX(Inflation!$D$4:$D$21,MATCH($A7,Inflation!$A$4:$A$21,0))</f>
        <v>111.952526936661</v>
      </c>
      <c r="W7" s="18" t="n">
        <f aca="false">INDEX(Inflation!$E$4:$E$21,MATCH($A7,Inflation!$A$4:$A$21,0))</f>
        <v>106.519864169496</v>
      </c>
      <c r="X7" s="18" t="n">
        <f aca="false">INDEX('Costar - US Multifamily'!$H$2:$H$34,MATCH($A7,'Costar - US Multifamily'!$A$2:$A$34,0))/INDEX('Costar - US Multifamily'!$H$2:$H$34,MATCH(2016,'Costar - US Multifamily'!$A$2:$A$34,0))*100</f>
        <v>108.438629231387</v>
      </c>
      <c r="Y7" s="13" t="n">
        <f aca="false">INDEX('Green Street National'!$C$4:$C$18,MATCH($A7,'Green Street National'!$A$4:$A$18,0))</f>
        <v>0.02837623</v>
      </c>
      <c r="Z7" s="13" t="n">
        <f aca="false">INDEX('Costar - US Multifamily'!$F$2:$F$34,MATCH($A7-1,'Costar - US Multifamily'!$A$2:$A$34,0))-INDEX('Costar - US Multifamily'!$F$2:$F$34,MATCH($A7,'Costar - US Multifamily'!$A$2:$A$34,0))</f>
        <v>-0.000299666901361809</v>
      </c>
      <c r="AA7" s="9" t="n">
        <f aca="false">INDEX('Costar - US Multifamily'!$H$2:$H$34,MATCH($A7,'Costar - US Multifamily'!$A$2:$A$34,0))</f>
        <v>1492.51299863927</v>
      </c>
      <c r="AB7" s="19" t="n">
        <f aca="false">1-INDEX('Costar - US Multifamily'!$F$2:$F$34,MATCH($A7,'Costar - US Multifamily'!$A$2:$A$34,0))</f>
        <v>0.933908627107305</v>
      </c>
      <c r="AC7" s="18" t="n">
        <f aca="false">AC6*(1+Y7)</f>
        <v>108.533613913498</v>
      </c>
    </row>
    <row r="8" customFormat="false" ht="15" hidden="false" customHeight="true" outlineLevel="0" collapsed="false">
      <c r="A8" s="2" t="n">
        <v>2020</v>
      </c>
      <c r="B8" s="13" t="n">
        <f aca="false">INDEX(CPT!$Z$8:$Z$17,MATCH($A8,CPT!$A$8:$A$17,0))</f>
        <v>0.0510140233774269</v>
      </c>
      <c r="C8" s="13" t="n">
        <f aca="false">INDEX(CPT!$Y$8:$Y$17,MATCH($A8,CPT!$A$8:$A$17,0))</f>
        <v>0.0093</v>
      </c>
      <c r="D8" s="13" t="n">
        <f aca="false">B8-C8</f>
        <v>0.0417140233774269</v>
      </c>
      <c r="E8" s="13" t="n">
        <f aca="false">INDEX(CPT!$AA$8:$AA$17,MATCH($A8,CPT!$A$8:$A$17,0))</f>
        <v>0.058341287880521</v>
      </c>
      <c r="F8" s="13" t="n">
        <f aca="false">E8-B8</f>
        <v>0.00732726450309407</v>
      </c>
      <c r="G8" s="13" t="n">
        <f aca="false">INDEX('Costar - US Multifamily'!$F$2:$F$34,MATCH($A8,'Costar - US Multifamily'!$A$2:$A$34,0))</f>
        <v>0.0677560986856392</v>
      </c>
      <c r="H8" s="13" t="n">
        <f aca="false">INDEX('Costar - US Multifamily'!$I$2:$I$34,MATCH($A8,'Costar - US Multifamily'!$A$2:$A$34,0))</f>
        <v>0.0150876939891963</v>
      </c>
      <c r="I8" s="13" t="n">
        <f aca="false">INDEX('Costar - US Multifamily'!$C$2:$C$34,MATCH($A8,'Costar - US Multifamily'!$A$2:$A$34,0))/INDEX('Costar - US Multifamily'!$B$2:$B$34,MATCH($A8,'Costar - US Multifamily'!$A$2:$A$34,0))</f>
        <v>0.0253586058325992</v>
      </c>
      <c r="J8" s="18" t="n">
        <f aca="false">INDEX(CPT!$AB$8:$AB$17,MATCH($A8,CPT!$A$8:$A$17,0))</f>
        <v>19.6024530863113</v>
      </c>
      <c r="K8" s="18" t="n">
        <f aca="false">INDEX(CPT!$AC$8:$AC$17,MATCH($A8,CPT!$A$8:$A$17,0))</f>
        <v>17.140519798739</v>
      </c>
      <c r="L8" s="9" t="n">
        <f aca="false">INDEX(CPT!$B$8:$B$17,MATCH($A8,CPT!$A$8:$A$17,0))</f>
        <v>649.011</v>
      </c>
      <c r="M8" s="9" t="n">
        <f aca="false">INDEX(CPT!$Q$8:$Q$17,MATCH($A8,CPT!$A$8:$A$17,0))</f>
        <v>12722.20768</v>
      </c>
      <c r="N8" s="9" t="n">
        <f aca="false">INDEX(CPT!$D$8:$D$17,MATCH($A8,CPT!$A$8:$A$17,0))</f>
        <v>557.485</v>
      </c>
      <c r="O8" s="9" t="n">
        <f aca="false">INDEX(CPT!$K$8:$K$17,MATCH($A8,CPT!$A$8:$A$17,0))</f>
        <v>9555.58268</v>
      </c>
      <c r="P8" s="13" t="n">
        <f aca="false">INDEX('Prime Rate'!$B$2:$B$13,MATCH($A8,'Prime Rate'!$A$2:$A$13,0))/100</f>
        <v>0.0354</v>
      </c>
      <c r="Q8" s="9" t="n">
        <f aca="false">M8-L8</f>
        <v>12073.19668</v>
      </c>
      <c r="R8" s="9" t="n">
        <f aca="false">O8-N8</f>
        <v>8998.09768</v>
      </c>
      <c r="S8" s="13" t="n">
        <f aca="false">INDEX(Inflation!$G$4:$G$21,MATCH($A8,Inflation!$A$4:$A$21,0))</f>
        <v>0.0125287010127009</v>
      </c>
      <c r="T8" s="13" t="n">
        <f aca="false">INDEX('Green Street National'!$D$4:$D$18,MATCH($A8,'Green Street National'!$A$4:$A$18,0))</f>
        <v>0.04376953</v>
      </c>
      <c r="U8" s="18" t="n">
        <f aca="false">INDEX('Green Street National'!$F$4:$F$18,MATCH($A8,'Green Street National'!$A$4:$A$18,0))</f>
        <v>112.840426236934</v>
      </c>
      <c r="V8" s="18" t="n">
        <f aca="false">INDEX(Inflation!$D$4:$D$21,MATCH($A8,Inflation!$A$4:$A$21,0))</f>
        <v>114.716111798347</v>
      </c>
      <c r="W8" s="18" t="n">
        <f aca="false">INDEX(Inflation!$E$4:$E$21,MATCH($A8,Inflation!$A$4:$A$21,0))</f>
        <v>107.85441969959</v>
      </c>
      <c r="X8" s="18" t="n">
        <f aca="false">INDEX('Costar - US Multifamily'!$H$2:$H$34,MATCH($A8,'Costar - US Multifamily'!$A$2:$A$34,0))/INDEX('Costar - US Multifamily'!$H$2:$H$34,MATCH(2016,'Costar - US Multifamily'!$A$2:$A$34,0))*100</f>
        <v>110.074718085838</v>
      </c>
      <c r="Y8" s="13" t="n">
        <f aca="false">INDEX('Green Street National'!$C$4:$C$18,MATCH($A8,'Green Street National'!$A$4:$A$18,0))</f>
        <v>-0.01726645</v>
      </c>
      <c r="Z8" s="13" t="n">
        <f aca="false">INDEX('Costar - US Multifamily'!$F$2:$F$34,MATCH($A8-1,'Costar - US Multifamily'!$A$2:$A$34,0))-INDEX('Costar - US Multifamily'!$F$2:$F$34,MATCH($A8,'Costar - US Multifamily'!$A$2:$A$34,0))</f>
        <v>-0.00166472579294399</v>
      </c>
      <c r="AA8" s="9" t="n">
        <f aca="false">INDEX('Costar - US Multifamily'!$H$2:$H$34,MATCH($A8,'Costar - US Multifamily'!$A$2:$A$34,0))</f>
        <v>1515.03157803764</v>
      </c>
      <c r="AB8" s="19" t="n">
        <f aca="false">1-INDEX('Costar - US Multifamily'!$F$2:$F$34,MATCH($A8,'Costar - US Multifamily'!$A$2:$A$34,0))</f>
        <v>0.932243901314361</v>
      </c>
      <c r="AC8" s="18" t="n">
        <f aca="false">AC7*(1+Y8)</f>
        <v>106.659623695541</v>
      </c>
    </row>
    <row r="9" customFormat="false" ht="15" hidden="false" customHeight="true" outlineLevel="0" collapsed="false">
      <c r="A9" s="2" t="n">
        <v>2021</v>
      </c>
      <c r="B9" s="13" t="n">
        <f aca="false">INDEX(CPT!$Z$8:$Z$17,MATCH($A9,CPT!$A$8:$A$17,0))</f>
        <v>0.0333146444365085</v>
      </c>
      <c r="C9" s="13" t="n">
        <f aca="false">INDEX(CPT!$Y$8:$Y$17,MATCH($A9,CPT!$A$8:$A$17,0))</f>
        <v>0.0152</v>
      </c>
      <c r="D9" s="13" t="n">
        <f aca="false">B9-C9</f>
        <v>0.0181146444365085</v>
      </c>
      <c r="E9" s="13" t="n">
        <f aca="false">INDEX(CPT!$AA$8:$AA$17,MATCH($A9,CPT!$A$8:$A$17,0))</f>
        <v>0.0337611705854014</v>
      </c>
      <c r="F9" s="13" t="n">
        <f aca="false">E9-B9</f>
        <v>0.000446526148892915</v>
      </c>
      <c r="G9" s="13" t="n">
        <f aca="false">INDEX('Costar - US Multifamily'!$F$2:$F$34,MATCH($A9,'Costar - US Multifamily'!$A$2:$A$34,0))</f>
        <v>0.0511618903179478</v>
      </c>
      <c r="H9" s="13" t="n">
        <f aca="false">INDEX('Costar - US Multifamily'!$I$2:$I$34,MATCH($A9,'Costar - US Multifamily'!$A$2:$A$34,0))</f>
        <v>0.0881649323336352</v>
      </c>
      <c r="I9" s="13" t="n">
        <f aca="false">INDEX('Costar - US Multifamily'!$C$2:$C$34,MATCH($A9,'Costar - US Multifamily'!$A$2:$A$34,0))/INDEX('Costar - US Multifamily'!$B$2:$B$34,MATCH($A9,'Costar - US Multifamily'!$A$2:$A$34,0))</f>
        <v>0.022677567628092</v>
      </c>
      <c r="J9" s="18" t="n">
        <f aca="false">INDEX(CPT!$AB$8:$AB$17,MATCH($A9,CPT!$A$8:$A$17,0))</f>
        <v>30.016829442854</v>
      </c>
      <c r="K9" s="18" t="n">
        <f aca="false">INDEX(CPT!$AC$8:$AC$17,MATCH($A9,CPT!$A$8:$A$17,0))</f>
        <v>29.6198260504749</v>
      </c>
      <c r="L9" s="9" t="n">
        <f aca="false">INDEX(CPT!$B$8:$B$17,MATCH($A9,CPT!$A$8:$A$17,0))</f>
        <v>726.56</v>
      </c>
      <c r="M9" s="9" t="n">
        <f aca="false">INDEX(CPT!$Q$8:$Q$17,MATCH($A9,CPT!$A$8:$A$17,0))</f>
        <v>21809.0276</v>
      </c>
      <c r="N9" s="9" t="n">
        <f aca="false">INDEX(CPT!$D$8:$D$17,MATCH($A9,CPT!$A$8:$A$17,0))</f>
        <v>629.263</v>
      </c>
      <c r="O9" s="9" t="n">
        <f aca="false">INDEX(CPT!$K$8:$K$17,MATCH($A9,CPT!$A$8:$A$17,0))</f>
        <v>18638.6606</v>
      </c>
      <c r="P9" s="13" t="n">
        <f aca="false">INDEX('Prime Rate'!$B$2:$B$13,MATCH($A9,'Prime Rate'!$A$2:$A$13,0))/100</f>
        <v>0.0325</v>
      </c>
      <c r="Q9" s="9" t="n">
        <f aca="false">M9-L9</f>
        <v>21082.4676</v>
      </c>
      <c r="R9" s="9" t="n">
        <f aca="false">O9-N9</f>
        <v>18009.3976</v>
      </c>
      <c r="S9" s="13" t="n">
        <f aca="false">INDEX(Inflation!$G$4:$G$21,MATCH($A9,Inflation!$A$4:$A$21,0))</f>
        <v>0.0468098093148315</v>
      </c>
      <c r="T9" s="13" t="n">
        <f aca="false">INDEX('Green Street National'!$D$4:$D$18,MATCH($A9,'Green Street National'!$A$4:$A$18,0))</f>
        <v>0.03788439</v>
      </c>
      <c r="U9" s="18" t="n">
        <f aca="false">INDEX('Green Street National'!$F$4:$F$18,MATCH($A9,'Green Street National'!$A$4:$A$18,0))</f>
        <v>148.305287254741</v>
      </c>
      <c r="V9" s="18" t="n">
        <f aca="false">INDEX(Inflation!$D$4:$D$21,MATCH($A9,Inflation!$A$4:$A$21,0))</f>
        <v>120.671758188566</v>
      </c>
      <c r="W9" s="18" t="n">
        <f aca="false">INDEX(Inflation!$E$4:$E$21,MATCH($A9,Inflation!$A$4:$A$21,0))</f>
        <v>112.903064519489</v>
      </c>
      <c r="X9" s="18" t="n">
        <f aca="false">INDEX('Costar - US Multifamily'!$H$2:$H$34,MATCH($A9,'Costar - US Multifamily'!$A$2:$A$34,0))/INDEX('Costar - US Multifamily'!$H$2:$H$34,MATCH(2016,'Costar - US Multifamily'!$A$2:$A$34,0))*100</f>
        <v>119.77944815752</v>
      </c>
      <c r="Y9" s="13" t="n">
        <f aca="false">INDEX('Green Street National'!$C$4:$C$18,MATCH($A9,'Green Street National'!$A$4:$A$18,0))</f>
        <v>0.15341472</v>
      </c>
      <c r="Z9" s="13" t="n">
        <f aca="false">INDEX('Costar - US Multifamily'!$F$2:$F$34,MATCH($A9-1,'Costar - US Multifamily'!$A$2:$A$34,0))-INDEX('Costar - US Multifamily'!$F$2:$F$34,MATCH($A9,'Costar - US Multifamily'!$A$2:$A$34,0))</f>
        <v>0.0165942083676914</v>
      </c>
      <c r="AA9" s="9" t="n">
        <f aca="false">INDEX('Costar - US Multifamily'!$H$2:$H$34,MATCH($A9,'Costar - US Multifamily'!$A$2:$A$34,0))</f>
        <v>1648.60423459865</v>
      </c>
      <c r="AB9" s="19" t="n">
        <f aca="false">1-INDEX('Costar - US Multifamily'!$F$2:$F$34,MATCH($A9,'Costar - US Multifamily'!$A$2:$A$34,0))</f>
        <v>0.948838109682052</v>
      </c>
      <c r="AC9" s="18" t="n">
        <f aca="false">AC8*(1+Y9)</f>
        <v>123.022780000098</v>
      </c>
    </row>
    <row r="10" customFormat="false" ht="15" hidden="false" customHeight="true" outlineLevel="0" collapsed="false">
      <c r="A10" s="2" t="n">
        <v>2022</v>
      </c>
      <c r="B10" s="13" t="n">
        <f aca="false">INDEX(CPT!$Z$8:$Z$17,MATCH($A10,CPT!$A$8:$A$17,0))</f>
        <v>0.0597418794170177</v>
      </c>
      <c r="C10" s="13" t="n">
        <f aca="false">INDEX(CPT!$Y$8:$Y$17,MATCH($A10,CPT!$A$8:$A$17,0))</f>
        <v>0.0388</v>
      </c>
      <c r="D10" s="13" t="n">
        <f aca="false">B10-C10</f>
        <v>0.0209418794170177</v>
      </c>
      <c r="E10" s="13" t="n">
        <f aca="false">INDEX(CPT!$AA$8:$AA$17,MATCH($A10,CPT!$A$8:$A$17,0))</f>
        <v>0.0687680180461976</v>
      </c>
      <c r="F10" s="13" t="n">
        <f aca="false">E10-B10</f>
        <v>0.00902613862917989</v>
      </c>
      <c r="G10" s="13" t="n">
        <f aca="false">INDEX('Costar - US Multifamily'!$F$2:$F$34,MATCH($A10,'Costar - US Multifamily'!$A$2:$A$34,0))</f>
        <v>0.0659326534476428</v>
      </c>
      <c r="H10" s="13" t="n">
        <f aca="false">INDEX('Costar - US Multifamily'!$I$2:$I$34,MATCH($A10,'Costar - US Multifamily'!$A$2:$A$34,0))</f>
        <v>0.0401127220010312</v>
      </c>
      <c r="I10" s="13" t="n">
        <f aca="false">INDEX('Costar - US Multifamily'!$C$2:$C$34,MATCH($A10,'Costar - US Multifamily'!$A$2:$A$34,0))/INDEX('Costar - US Multifamily'!$B$2:$B$34,MATCH($A10,'Costar - US Multifamily'!$A$2:$A$34,0))</f>
        <v>0.0235067606934977</v>
      </c>
      <c r="J10" s="18" t="n">
        <f aca="false">INDEX(CPT!$AB$8:$AB$17,MATCH($A10,CPT!$A$8:$A$17,0))</f>
        <v>16.7386766161084</v>
      </c>
      <c r="K10" s="18" t="n">
        <f aca="false">INDEX(CPT!$AC$8:$AC$17,MATCH($A10,CPT!$A$8:$A$17,0))</f>
        <v>14.5416434617646</v>
      </c>
      <c r="L10" s="9" t="n">
        <f aca="false">INDEX(CPT!$B$8:$B$17,MATCH($A10,CPT!$A$8:$A$17,0))</f>
        <v>924.675</v>
      </c>
      <c r="M10" s="9" t="n">
        <f aca="false">INDEX(CPT!$Q$8:$Q$17,MATCH($A10,CPT!$A$8:$A$17,0))</f>
        <v>15477.8358</v>
      </c>
      <c r="N10" s="9" t="n">
        <f aca="false">INDEX(CPT!$D$8:$D$17,MATCH($A10,CPT!$A$8:$A$17,0))</f>
        <v>811.251</v>
      </c>
      <c r="O10" s="9" t="n">
        <f aca="false">INDEX(CPT!$K$8:$K$17,MATCH($A10,CPT!$A$8:$A$17,0))</f>
        <v>11796.9228</v>
      </c>
      <c r="P10" s="13" t="n">
        <f aca="false">INDEX('Prime Rate'!$B$2:$B$13,MATCH($A10,'Prime Rate'!$A$2:$A$13,0))/100</f>
        <v>0.0485</v>
      </c>
      <c r="Q10" s="9" t="n">
        <f aca="false">M10-L10</f>
        <v>14553.1608</v>
      </c>
      <c r="R10" s="9" t="n">
        <f aca="false">O10-N10</f>
        <v>10985.6718</v>
      </c>
      <c r="S10" s="13" t="n">
        <f aca="false">INDEX(Inflation!$G$4:$G$21,MATCH($A10,Inflation!$A$4:$A$21,0))</f>
        <v>0.0799083303502561</v>
      </c>
      <c r="T10" s="13" t="n">
        <f aca="false">INDEX('Green Street National'!$D$4:$D$18,MATCH($A10,'Green Street National'!$A$4:$A$18,0))</f>
        <v>0.05048362</v>
      </c>
      <c r="U10" s="18" t="n">
        <f aca="false">INDEX('Green Street National'!$F$4:$F$18,MATCH($A10,'Green Street National'!$A$4:$A$18,0))</f>
        <v>112.259083245291</v>
      </c>
      <c r="V10" s="18" t="n">
        <f aca="false">INDEX(Inflation!$D$4:$D$21,MATCH($A10,Inflation!$A$4:$A$21,0))</f>
        <v>144.713064056365</v>
      </c>
      <c r="W10" s="18" t="n">
        <f aca="false">INDEX(Inflation!$E$4:$E$21,MATCH($A10,Inflation!$A$4:$A$21,0))</f>
        <v>121.924959896669</v>
      </c>
      <c r="X10" s="18" t="n">
        <f aca="false">INDEX('Costar - US Multifamily'!$H$2:$H$34,MATCH($A10,'Costar - US Multifamily'!$A$2:$A$34,0))/INDEX('Costar - US Multifamily'!$H$2:$H$34,MATCH(2016,'Costar - US Multifamily'!$A$2:$A$34,0))*100</f>
        <v>124.5841278629</v>
      </c>
      <c r="Y10" s="13" t="n">
        <f aca="false">INDEX('Green Street National'!$C$4:$C$18,MATCH($A10,'Green Street National'!$A$4:$A$18,0))</f>
        <v>0.04550639</v>
      </c>
      <c r="Z10" s="13" t="n">
        <f aca="false">INDEX('Costar - US Multifamily'!$F$2:$F$34,MATCH($A10-1,'Costar - US Multifamily'!$A$2:$A$34,0))-INDEX('Costar - US Multifamily'!$F$2:$F$34,MATCH($A10,'Costar - US Multifamily'!$A$2:$A$34,0))</f>
        <v>-0.014770763129695</v>
      </c>
      <c r="AA10" s="9" t="n">
        <f aca="false">INDEX('Costar - US Multifamily'!$H$2:$H$34,MATCH($A10,'Costar - US Multifamily'!$A$2:$A$34,0))</f>
        <v>1714.73423795083</v>
      </c>
      <c r="AB10" s="19" t="n">
        <f aca="false">1-INDEX('Costar - US Multifamily'!$F$2:$F$34,MATCH($A10,'Costar - US Multifamily'!$A$2:$A$34,0))</f>
        <v>0.934067346552357</v>
      </c>
      <c r="AC10" s="18" t="n">
        <f aca="false">AC9*(1+Y10)</f>
        <v>128.621102605667</v>
      </c>
    </row>
    <row r="11" customFormat="false" ht="15" hidden="false" customHeight="true" outlineLevel="0" collapsed="false">
      <c r="A11" s="2" t="n">
        <v>2023</v>
      </c>
      <c r="B11" s="13" t="n">
        <f aca="false">INDEX(CPT!$Z$8:$Z$17,MATCH($A11,CPT!$A$8:$A$17,0))</f>
        <v>0.0700168261423126</v>
      </c>
      <c r="C11" s="13" t="n">
        <f aca="false">INDEX(CPT!$Y$8:$Y$17,MATCH($A11,CPT!$A$8:$A$17,0))</f>
        <v>0.0388</v>
      </c>
      <c r="D11" s="13" t="n">
        <f aca="false">B11-C11</f>
        <v>0.0312168261423126</v>
      </c>
      <c r="E11" s="13" t="n">
        <f aca="false">INDEX(CPT!$AA$8:$AA$17,MATCH($A11,CPT!$A$8:$A$17,0))</f>
        <v>0.0821245090213159</v>
      </c>
      <c r="F11" s="13" t="n">
        <f aca="false">E11-B11</f>
        <v>0.0121076828790032</v>
      </c>
      <c r="G11" s="13" t="n">
        <f aca="false">INDEX('Costar - US Multifamily'!$F$2:$F$34,MATCH($A11,'Costar - US Multifamily'!$A$2:$A$34,0))</f>
        <v>0.0779636683425829</v>
      </c>
      <c r="H11" s="13" t="n">
        <f aca="false">INDEX('Costar - US Multifamily'!$I$2:$I$34,MATCH($A11,'Costar - US Multifamily'!$A$2:$A$34,0))</f>
        <v>0.0130911031748043</v>
      </c>
      <c r="I11" s="13" t="n">
        <f aca="false">INDEX('Costar - US Multifamily'!$C$2:$C$34,MATCH($A11,'Costar - US Multifamily'!$A$2:$A$34,0))/INDEX('Costar - US Multifamily'!$B$2:$B$34,MATCH($A11,'Costar - US Multifamily'!$A$2:$A$34,0))</f>
        <v>0.0306486490814444</v>
      </c>
      <c r="J11" s="18" t="n">
        <f aca="false">INDEX(CPT!$AB$8:$AB$17,MATCH($A11,CPT!$A$8:$A$17,0))</f>
        <v>14.2822812043415</v>
      </c>
      <c r="K11" s="18" t="n">
        <f aca="false">INDEX(CPT!$AC$8:$AC$17,MATCH($A11,CPT!$A$8:$A$17,0))</f>
        <v>12.176632918931</v>
      </c>
      <c r="L11" s="9" t="n">
        <f aca="false">INDEX(CPT!$B$8:$B$17,MATCH($A11,CPT!$A$8:$A$17,0))</f>
        <v>993.107</v>
      </c>
      <c r="M11" s="9" t="n">
        <f aca="false">INDEX(CPT!$Q$8:$Q$17,MATCH($A11,CPT!$A$8:$A$17,0))</f>
        <v>14183.83344</v>
      </c>
      <c r="N11" s="9" t="n">
        <f aca="false">INDEX(CPT!$D$8:$D$17,MATCH($A11,CPT!$A$8:$A$17,0))</f>
        <v>859.712</v>
      </c>
      <c r="O11" s="9" t="n">
        <f aca="false">INDEX(CPT!$K$8:$K$17,MATCH($A11,CPT!$A$8:$A$17,0))</f>
        <v>10468.39744</v>
      </c>
      <c r="P11" s="13" t="n">
        <f aca="false">INDEX('Prime Rate'!$B$2:$B$13,MATCH($A11,'Prime Rate'!$A$2:$A$13,0))/100</f>
        <v>0.0819</v>
      </c>
      <c r="Q11" s="9" t="n">
        <f aca="false">M11-L11</f>
        <v>13190.72644</v>
      </c>
      <c r="R11" s="9" t="n">
        <f aca="false">O11-N11</f>
        <v>9608.68544</v>
      </c>
      <c r="S11" s="13" t="n">
        <f aca="false">INDEX(Inflation!$G$4:$G$21,MATCH($A11,Inflation!$A$4:$A$21,0))</f>
        <v>0.0412711105643382</v>
      </c>
      <c r="T11" s="13" t="n">
        <f aca="false">INDEX('Green Street National'!$D$4:$D$18,MATCH($A11,'Green Street National'!$A$4:$A$18,0))</f>
        <v>0.05662173</v>
      </c>
      <c r="U11" s="18" t="n">
        <f aca="false">INDEX('Green Street National'!$F$4:$F$18,MATCH($A11,'Green Street National'!$A$4:$A$18,0))</f>
        <v>100.508627067155</v>
      </c>
      <c r="V11" s="18" t="n">
        <f aca="false">INDEX(Inflation!$D$4:$D$21,MATCH($A11,Inflation!$A$4:$A$21,0))</f>
        <v>156.117893831012</v>
      </c>
      <c r="W11" s="18" t="n">
        <f aca="false">INDEX(Inflation!$E$4:$E$21,MATCH($A11,Inflation!$A$4:$A$21,0))</f>
        <v>126.956938397117</v>
      </c>
      <c r="X11" s="18" t="n">
        <f aca="false">INDEX('Costar - US Multifamily'!$H$2:$H$34,MATCH($A11,'Costar - US Multifamily'!$A$2:$A$34,0))/INDEX('Costar - US Multifamily'!$H$2:$H$34,MATCH(2016,'Costar - US Multifamily'!$A$2:$A$34,0))*100</f>
        <v>126.215071534696</v>
      </c>
      <c r="Y11" s="13" t="n">
        <f aca="false">INDEX('Green Street National'!$C$4:$C$18,MATCH($A11,'Green Street National'!$A$4:$A$18,0))</f>
        <v>-0.00280259</v>
      </c>
      <c r="Z11" s="13" t="n">
        <f aca="false">INDEX('Costar - US Multifamily'!$F$2:$F$34,MATCH($A11-1,'Costar - US Multifamily'!$A$2:$A$34,0))-INDEX('Costar - US Multifamily'!$F$2:$F$34,MATCH($A11,'Costar - US Multifamily'!$A$2:$A$34,0))</f>
        <v>-0.0120310148949401</v>
      </c>
      <c r="AA11" s="9" t="n">
        <f aca="false">INDEX('Costar - US Multifamily'!$H$2:$H$34,MATCH($A11,'Costar - US Multifamily'!$A$2:$A$34,0))</f>
        <v>1737.18200077721</v>
      </c>
      <c r="AB11" s="19" t="n">
        <f aca="false">1-INDEX('Costar - US Multifamily'!$F$2:$F$34,MATCH($A11,'Costar - US Multifamily'!$A$2:$A$34,0))</f>
        <v>0.922036331657417</v>
      </c>
      <c r="AC11" s="18" t="n">
        <f aca="false">AC10*(1+Y11)</f>
        <v>128.260630389715</v>
      </c>
    </row>
    <row r="12" customFormat="false" ht="15" hidden="false" customHeight="true" outlineLevel="0" collapsed="false">
      <c r="A12" s="2" t="n">
        <v>2024</v>
      </c>
      <c r="B12" s="13" t="n">
        <f aca="false">INDEX(CPT!$Z$8:$Z$17,MATCH($A12,CPT!$A$8:$A$17,0))</f>
        <v>0.0620985110115601</v>
      </c>
      <c r="C12" s="13" t="n">
        <f aca="false">INDEX(CPT!$Y$8:$Y$17,MATCH($A12,CPT!$A$8:$A$17,0))</f>
        <v>0.0458</v>
      </c>
      <c r="D12" s="13" t="n">
        <f aca="false">B12-C12</f>
        <v>0.0162985110115601</v>
      </c>
      <c r="E12" s="13" t="n">
        <f aca="false">INDEX(CPT!$AA$8:$AA$17,MATCH($A12,CPT!$A$8:$A$17,0))</f>
        <v>0.0690982459383178</v>
      </c>
      <c r="F12" s="13" t="n">
        <f aca="false">E12-B12</f>
        <v>0.00699973492675769</v>
      </c>
      <c r="G12" s="13" t="n">
        <f aca="false">INDEX('Costar - US Multifamily'!$F$2:$F$34,MATCH($A12,'Costar - US Multifamily'!$A$2:$A$34,0))</f>
        <v>0.083232084773644</v>
      </c>
      <c r="H12" s="13" t="n">
        <f aca="false">INDEX('Costar - US Multifamily'!$I$2:$I$34,MATCH($A12,'Costar - US Multifamily'!$A$2:$A$34,0))</f>
        <v>0.0121569826661413</v>
      </c>
      <c r="I12" s="13" t="n">
        <f aca="false">INDEX('Costar - US Multifamily'!$C$2:$C$34,MATCH($A12,'Costar - US Multifamily'!$A$2:$A$34,0))/INDEX('Costar - US Multifamily'!$B$2:$B$34,MATCH($A12,'Costar - US Multifamily'!$A$2:$A$34,0))</f>
        <v>0.0344953335384235</v>
      </c>
      <c r="J12" s="18" t="n">
        <f aca="false">INDEX(CPT!$AB$8:$AB$17,MATCH($A12,CPT!$A$8:$A$17,0))</f>
        <v>16.1034456979789</v>
      </c>
      <c r="K12" s="18" t="n">
        <f aca="false">INDEX(CPT!$AC$8:$AC$17,MATCH($A12,CPT!$A$8:$A$17,0))</f>
        <v>14.472147395647</v>
      </c>
      <c r="L12" s="9" t="n">
        <f aca="false">INDEX(CPT!$B$8:$B$17,MATCH($A12,CPT!$A$8:$A$17,0))</f>
        <v>985.037</v>
      </c>
      <c r="M12" s="9" t="n">
        <f aca="false">INDEX(CPT!$Q$8:$Q$17,MATCH($A12,CPT!$A$8:$A$17,0))</f>
        <v>15862.48984</v>
      </c>
      <c r="N12" s="9" t="n">
        <f aca="false">INDEX(CPT!$D$8:$D$17,MATCH($A12,CPT!$A$8:$A$17,0))</f>
        <v>855.222</v>
      </c>
      <c r="O12" s="9" t="n">
        <f aca="false">INDEX(CPT!$K$8:$K$17,MATCH($A12,CPT!$A$8:$A$17,0))</f>
        <v>12376.89884</v>
      </c>
      <c r="P12" s="13" t="n">
        <f aca="false">INDEX('Prime Rate'!$B$2:$B$13,MATCH($A12,'Prime Rate'!$A$2:$A$13,0))/100</f>
        <v>0.0831</v>
      </c>
      <c r="Q12" s="9" t="n">
        <f aca="false">M12-L12</f>
        <v>14877.45284</v>
      </c>
      <c r="R12" s="9" t="n">
        <f aca="false">O12-N12</f>
        <v>11521.67684</v>
      </c>
      <c r="S12" s="13" t="n">
        <f aca="false">INDEX(Inflation!$G$4:$G$21,MATCH($A12,Inflation!$A$4:$A$21,0))</f>
        <v>0.0295205495187116</v>
      </c>
      <c r="T12" s="13" t="n">
        <f aca="false">INDEX('Green Street National'!$D$4:$D$18,MATCH($A12,'Green Street National'!$A$4:$A$18,0))</f>
        <v>0.05208783</v>
      </c>
      <c r="U12" s="18" t="n">
        <f aca="false">INDEX('Green Street National'!$F$4:$F$18,MATCH($A12,'Green Street National'!$A$4:$A$18,0))</f>
        <v>109.137003547425</v>
      </c>
      <c r="V12" s="18" t="n">
        <f aca="false">INDEX(Inflation!$D$4:$D$21,MATCH($A12,Inflation!$A$4:$A$21,0))</f>
        <v>156.281037666505</v>
      </c>
      <c r="W12" s="18" t="n">
        <f aca="false">INDEX(Inflation!$E$4:$E$21,MATCH($A12,Inflation!$A$4:$A$21,0))</f>
        <v>130.704776983813</v>
      </c>
      <c r="X12" s="18" t="n">
        <f aca="false">INDEX('Costar - US Multifamily'!$H$2:$H$34,MATCH($A12,'Costar - US Multifamily'!$A$2:$A$34,0))/INDEX('Costar - US Multifamily'!$H$2:$H$34,MATCH(2016,'Costar - US Multifamily'!$A$2:$A$34,0))*100</f>
        <v>127.749465971549</v>
      </c>
      <c r="Y12" s="13" t="n">
        <f aca="false">INDEX('Green Street National'!$C$4:$C$18,MATCH($A12,'Green Street National'!$A$4:$A$18,0))</f>
        <v>0.0053018</v>
      </c>
      <c r="Z12" s="13" t="n">
        <f aca="false">INDEX('Costar - US Multifamily'!$F$2:$F$34,MATCH($A12-1,'Costar - US Multifamily'!$A$2:$A$34,0))-INDEX('Costar - US Multifamily'!$F$2:$F$34,MATCH($A12,'Costar - US Multifamily'!$A$2:$A$34,0))</f>
        <v>-0.00526841643106109</v>
      </c>
      <c r="AA12" s="9" t="n">
        <f aca="false">INDEX('Costar - US Multifamily'!$H$2:$H$34,MATCH($A12,'Costar - US Multifamily'!$A$2:$A$34,0))</f>
        <v>1758.30089224859</v>
      </c>
      <c r="AB12" s="19" t="n">
        <f aca="false">1-INDEX('Costar - US Multifamily'!$F$2:$F$34,MATCH($A12,'Costar - US Multifamily'!$A$2:$A$34,0))</f>
        <v>0.916767915226356</v>
      </c>
      <c r="AC12" s="18" t="n">
        <f aca="false">AC11*(1+Y12)</f>
        <v>128.940642599915</v>
      </c>
    </row>
    <row r="13" customFormat="false" ht="15" hidden="false" customHeight="true" outlineLevel="0" collapsed="false">
      <c r="A13" s="2" t="n">
        <v>2025</v>
      </c>
      <c r="B13" s="13" t="n">
        <f aca="false">INDEX(CPT!$Z$8:$Z$17,MATCH($A13,CPT!$A$8:$A$17,0))</f>
        <v>0.0655962462639059</v>
      </c>
      <c r="C13" s="13" t="n">
        <f aca="false">INDEX(CPT!$Y$8:$Y$17,MATCH($A13,CPT!$A$8:$A$17,0))</f>
        <v>0.0418</v>
      </c>
      <c r="D13" s="13" t="n">
        <f aca="false">B13-C13</f>
        <v>0.0237962462639059</v>
      </c>
      <c r="E13" s="13" t="n">
        <f aca="false">INDEX(CPT!$AA$8:$AA$17,MATCH($A13,CPT!$A$8:$A$17,0))</f>
        <v>0.0758719677579562</v>
      </c>
      <c r="F13" s="13" t="n">
        <f aca="false">E13-B13</f>
        <v>0.0102757214940503</v>
      </c>
      <c r="G13" s="13" t="n">
        <f aca="false">INDEX('Costar - US Multifamily'!$F$2:$F$34,MATCH($A13,'Costar - US Multifamily'!$A$2:$A$34,0))</f>
        <v>0.0847075532784309</v>
      </c>
      <c r="H13" s="13" t="n">
        <f aca="false">INDEX('Costar - US Multifamily'!$I$2:$I$34,MATCH($A13,'Costar - US Multifamily'!$A$2:$A$34,0))</f>
        <v>0.0042997106099318</v>
      </c>
      <c r="I13" s="13" t="n">
        <f aca="false">INDEX('Costar - US Multifamily'!$C$2:$C$34,MATCH($A13,'Costar - US Multifamily'!$A$2:$A$34,0))/INDEX('Costar - US Multifamily'!$B$2:$B$34,MATCH($A13,'Costar - US Multifamily'!$A$2:$A$34,0))</f>
        <v>0.0256603251765355</v>
      </c>
      <c r="J13" s="18" t="n">
        <f aca="false">INDEX(CPT!$AB$8:$AB$17,MATCH($A13,CPT!$A$8:$A$17,0))</f>
        <v>15.2447747692271</v>
      </c>
      <c r="K13" s="18" t="n">
        <f aca="false">INDEX(CPT!$AC$8:$AC$17,MATCH($A13,CPT!$A$8:$A$17,0))</f>
        <v>13.1800983887773</v>
      </c>
      <c r="L13" s="9" t="n">
        <f aca="false">INDEX(CPT!$B$8:$B$17,MATCH($A13,CPT!$A$8:$A$17,0))</f>
        <v>1006.834</v>
      </c>
      <c r="M13" s="9" t="n">
        <f aca="false">INDEX(CPT!$Q$8:$Q$17,MATCH($A13,CPT!$A$8:$A$17,0))</f>
        <v>15348.95756</v>
      </c>
      <c r="N13" s="9" t="n">
        <f aca="false">INDEX(CPT!$D$8:$D$17,MATCH($A13,CPT!$A$8:$A$17,0))</f>
        <v>868.595</v>
      </c>
      <c r="O13" s="9" t="n">
        <f aca="false">INDEX(CPT!$K$8:$K$17,MATCH($A13,CPT!$A$8:$A$17,0))</f>
        <v>11448.16756</v>
      </c>
      <c r="P13" s="13" t="n">
        <f aca="false">INDEX('Prime Rate'!$B$2:$B$13,MATCH($A13,'Prime Rate'!$A$2:$A$13,0))/100</f>
        <v>0.0737</v>
      </c>
      <c r="Q13" s="9" t="n">
        <f aca="false">M13-L13</f>
        <v>14342.12356</v>
      </c>
      <c r="R13" s="9" t="n">
        <f aca="false">O13-N13</f>
        <v>10579.57256</v>
      </c>
      <c r="S13" s="13" t="n">
        <f aca="false">INDEX(Inflation!$G$4:$G$21,MATCH($A13,Inflation!$A$4:$A$21,0))</f>
        <v>0.0263438083762091</v>
      </c>
      <c r="T13" s="13" t="n">
        <f aca="false">INDEX('Green Street National'!$D$4:$D$18,MATCH($A13,'Green Street National'!$A$4:$A$18,0))</f>
        <v>0.05229724</v>
      </c>
      <c r="U13" s="18" t="n">
        <f aca="false">INDEX('Green Street National'!$F$4:$F$18,MATCH($A13,'Green Street National'!$A$4:$A$18,0))</f>
        <v>109.052228192995</v>
      </c>
      <c r="V13" s="18" t="n">
        <f aca="false">INDEX(Inflation!$D$4:$D$21,MATCH($A13,Inflation!$A$4:$A$21,0))</f>
        <v>158.821420247763</v>
      </c>
      <c r="W13" s="18" t="n">
        <f aca="false">INDEX(Inflation!$E$4:$E$21,MATCH($A13,Inflation!$A$4:$A$21,0))</f>
        <v>134.14803858253</v>
      </c>
      <c r="X13" s="18" t="n">
        <f aca="false">INDEX('Costar - US Multifamily'!$H$2:$H$34,MATCH($A13,'Costar - US Multifamily'!$A$2:$A$34,0))/INDEX('Costar - US Multifamily'!$H$2:$H$34,MATCH(2016,'Costar - US Multifamily'!$A$2:$A$34,0))*100</f>
        <v>128.2987517058</v>
      </c>
      <c r="Y13" s="13" t="n">
        <f aca="false">INDEX('Green Street National'!$C$4:$C$18,MATCH($A13,'Green Street National'!$A$4:$A$18,0))</f>
        <v>0.003249</v>
      </c>
      <c r="Z13" s="13" t="n">
        <f aca="false">INDEX('Costar - US Multifamily'!$F$2:$F$34,MATCH($A13-1,'Costar - US Multifamily'!$A$2:$A$34,0))-INDEX('Costar - US Multifamily'!$F$2:$F$34,MATCH($A13,'Costar - US Multifamily'!$A$2:$A$34,0))</f>
        <v>-0.0014754685047869</v>
      </c>
      <c r="AA13" s="9" t="n">
        <f aca="false">INDEX('Costar - US Multifamily'!$H$2:$H$34,MATCH($A13,'Costar - US Multifamily'!$A$2:$A$34,0))</f>
        <v>1765.86107725045</v>
      </c>
      <c r="AB13" s="19" t="n">
        <f aca="false">1-INDEX('Costar - US Multifamily'!$F$2:$F$34,MATCH($A13,'Costar - US Multifamily'!$A$2:$A$34,0))</f>
        <v>0.915292446721569</v>
      </c>
      <c r="AC13" s="18" t="n">
        <f aca="false">AC12*(1+Y13)</f>
        <v>129.359570747722</v>
      </c>
    </row>
    <row r="15" customFormat="false" ht="15" hidden="false" customHeight="true" outlineLevel="0" collapsed="false">
      <c r="A15" s="2" t="s">
        <v>623</v>
      </c>
    </row>
    <row r="16" customFormat="false" ht="15" hidden="false" customHeight="true" outlineLevel="0" collapsed="false">
      <c r="A16" s="17" t="s">
        <v>711</v>
      </c>
    </row>
    <row r="17" customFormat="false" ht="15" hidden="false" customHeight="true" outlineLevel="0" collapsed="false">
      <c r="A17" s="17" t="s">
        <v>625</v>
      </c>
    </row>
    <row r="18" customFormat="false" ht="15" hidden="false" customHeight="true" outlineLevel="0" collapsed="false">
      <c r="A18" s="17" t="s">
        <v>626</v>
      </c>
    </row>
    <row r="19" customFormat="false" ht="15" hidden="false" customHeight="true" outlineLevel="0" collapsed="false">
      <c r="A19" s="17" t="s">
        <v>712</v>
      </c>
    </row>
    <row r="20" customFormat="false" ht="15" hidden="false" customHeight="true" outlineLevel="0" collapsed="false">
      <c r="A20" s="17" t="s">
        <v>628</v>
      </c>
    </row>
    <row r="21" customFormat="false" ht="15" hidden="false" customHeight="true" outlineLevel="0" collapsed="false">
      <c r="A21" s="17" t="s">
        <v>629</v>
      </c>
    </row>
    <row r="22" customFormat="false" ht="15" hidden="false" customHeight="true" outlineLevel="0" collapsed="false">
      <c r="A22" s="17" t="s">
        <v>630</v>
      </c>
    </row>
    <row r="23" customFormat="false" ht="15" hidden="false" customHeight="true" outlineLevel="0" collapsed="false">
      <c r="A23" s="17" t="s">
        <v>631</v>
      </c>
    </row>
    <row r="24" customFormat="false" ht="15" hidden="false" customHeight="true" outlineLevel="0" collapsed="false">
      <c r="A24" s="17" t="s">
        <v>632</v>
      </c>
    </row>
    <row r="25" customFormat="false" ht="15" hidden="false" customHeight="true" outlineLevel="0" collapsed="false">
      <c r="A25" s="17" t="s">
        <v>633</v>
      </c>
    </row>
    <row r="26" customFormat="false" ht="15" hidden="false" customHeight="true" outlineLevel="0" collapsed="false">
      <c r="A26" s="17" t="s">
        <v>713</v>
      </c>
    </row>
    <row r="27" customFormat="false" ht="15" hidden="false" customHeight="true" outlineLevel="0" collapsed="false">
      <c r="A27" s="17" t="s">
        <v>635</v>
      </c>
    </row>
    <row r="28" customFormat="false" ht="15" hidden="false" customHeight="true" outlineLevel="0" collapsed="false">
      <c r="A28" s="17" t="s">
        <v>636</v>
      </c>
    </row>
    <row r="29" customFormat="false" ht="15" hidden="false" customHeight="true" outlineLevel="0" collapsed="false">
      <c r="A29" s="17" t="s">
        <v>637</v>
      </c>
    </row>
    <row r="30" customFormat="false" ht="15" hidden="false" customHeight="true" outlineLevel="0" collapsed="false">
      <c r="A30" s="17" t="s">
        <v>638</v>
      </c>
    </row>
    <row r="31" customFormat="false" ht="15" hidden="false" customHeight="true" outlineLevel="0" collapsed="false">
      <c r="A31" s="17" t="s">
        <v>639</v>
      </c>
    </row>
    <row r="32" customFormat="false" ht="15" hidden="false" customHeight="true" outlineLevel="0" collapsed="false">
      <c r="A32" s="17" t="s">
        <v>640</v>
      </c>
    </row>
    <row r="33" customFormat="false" ht="15" hidden="false" customHeight="true" outlineLevel="0" collapsed="false">
      <c r="A33" s="17" t="s">
        <v>641</v>
      </c>
    </row>
    <row r="34" customFormat="false" ht="15" hidden="false" customHeight="true" outlineLevel="0" collapsed="false">
      <c r="A34" s="17" t="s">
        <v>642</v>
      </c>
    </row>
    <row r="35" customFormat="false" ht="15" hidden="false" customHeight="true" outlineLevel="0" collapsed="false">
      <c r="A35" s="17" t="s">
        <v>643</v>
      </c>
    </row>
    <row r="36" customFormat="false" ht="15" hidden="false" customHeight="true" outlineLevel="0" collapsed="false">
      <c r="A36" s="17" t="s">
        <v>644</v>
      </c>
    </row>
    <row r="37" customFormat="false" ht="15" hidden="false" customHeight="true" outlineLevel="0" collapsed="false">
      <c r="A37" s="17" t="s">
        <v>645</v>
      </c>
    </row>
    <row r="38" customFormat="false" ht="15" hidden="false" customHeight="true" outlineLevel="0" collapsed="false">
      <c r="A38" s="17" t="s">
        <v>646</v>
      </c>
    </row>
    <row r="39" customFormat="false" ht="15" hidden="false" customHeight="true" outlineLevel="0" collapsed="false">
      <c r="A39" s="17" t="s">
        <v>647</v>
      </c>
    </row>
    <row r="40" customFormat="false" ht="15" hidden="false" customHeight="true" outlineLevel="0" collapsed="false">
      <c r="A40" s="17" t="s">
        <v>648</v>
      </c>
    </row>
    <row r="41" customFormat="false" ht="15" hidden="false" customHeight="true" outlineLevel="0" collapsed="false">
      <c r="A41" s="17" t="s">
        <v>649</v>
      </c>
    </row>
    <row r="42" customFormat="false" ht="15" hidden="false" customHeight="true" outlineLevel="0" collapsed="false">
      <c r="A42" s="17" t="s">
        <v>650</v>
      </c>
    </row>
    <row r="43" customFormat="false" ht="15" hidden="false" customHeight="true" outlineLevel="0" collapsed="false">
      <c r="A43" s="17" t="s">
        <v>651</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E8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31" min="1" style="1" width="15"/>
  </cols>
  <sheetData>
    <row r="1" customFormat="false" ht="15" hidden="false" customHeight="true" outlineLevel="0" collapsed="false">
      <c r="A1" s="4" t="s">
        <v>714</v>
      </c>
    </row>
    <row r="3" customFormat="false" ht="15" hidden="false" customHeight="true" outlineLevel="0" collapsed="false">
      <c r="A3" s="5" t="s">
        <v>715</v>
      </c>
    </row>
    <row r="4" customFormat="false" ht="15" hidden="false" customHeight="true" outlineLevel="0" collapsed="false">
      <c r="A4" s="2" t="s">
        <v>716</v>
      </c>
    </row>
    <row r="6" customFormat="false" ht="15" hidden="false" customHeight="true" outlineLevel="0" collapsed="false">
      <c r="B6" s="6" t="s">
        <v>717</v>
      </c>
      <c r="C6" s="6" t="s">
        <v>717</v>
      </c>
      <c r="D6" s="6" t="s">
        <v>527</v>
      </c>
      <c r="E6" s="6" t="s">
        <v>718</v>
      </c>
      <c r="F6" s="6" t="s">
        <v>717</v>
      </c>
      <c r="G6" s="6" t="s">
        <v>527</v>
      </c>
      <c r="H6" s="6" t="s">
        <v>717</v>
      </c>
      <c r="I6" s="6" t="s">
        <v>717</v>
      </c>
      <c r="J6" s="6" t="s">
        <v>527</v>
      </c>
      <c r="K6" s="6" t="s">
        <v>527</v>
      </c>
      <c r="L6" s="6" t="s">
        <v>717</v>
      </c>
      <c r="M6" s="6" t="s">
        <v>717</v>
      </c>
      <c r="N6" s="6" t="s">
        <v>717</v>
      </c>
      <c r="O6" s="6" t="s">
        <v>527</v>
      </c>
      <c r="P6" s="6" t="s">
        <v>527</v>
      </c>
      <c r="Q6" s="6" t="s">
        <v>527</v>
      </c>
      <c r="R6" s="6" t="s">
        <v>717</v>
      </c>
      <c r="S6" s="6" t="s">
        <v>530</v>
      </c>
      <c r="T6" s="6" t="s">
        <v>530</v>
      </c>
      <c r="U6" s="6" t="s">
        <v>717</v>
      </c>
      <c r="V6" s="6" t="s">
        <v>527</v>
      </c>
      <c r="W6" s="6" t="s">
        <v>717</v>
      </c>
      <c r="X6" s="6" t="s">
        <v>717</v>
      </c>
      <c r="Y6" s="6" t="s">
        <v>175</v>
      </c>
      <c r="Z6" s="6" t="s">
        <v>527</v>
      </c>
      <c r="AA6" s="6" t="s">
        <v>527</v>
      </c>
      <c r="AB6" s="6" t="s">
        <v>527</v>
      </c>
      <c r="AC6" s="6" t="s">
        <v>527</v>
      </c>
      <c r="AD6" s="6"/>
      <c r="AE6" s="6" t="s">
        <v>717</v>
      </c>
    </row>
    <row r="7" customFormat="false" ht="53.25" hidden="false" customHeight="true" outlineLevel="0" collapsed="false">
      <c r="A7" s="8" t="s">
        <v>533</v>
      </c>
      <c r="B7" s="8" t="s">
        <v>534</v>
      </c>
      <c r="C7" s="8" t="s">
        <v>535</v>
      </c>
      <c r="D7" s="8" t="s">
        <v>536</v>
      </c>
      <c r="E7" s="8" t="s">
        <v>537</v>
      </c>
      <c r="F7" s="8" t="s">
        <v>538</v>
      </c>
      <c r="G7" s="8" t="s">
        <v>539</v>
      </c>
      <c r="H7" s="8" t="s">
        <v>540</v>
      </c>
      <c r="I7" s="8" t="s">
        <v>541</v>
      </c>
      <c r="J7" s="8" t="s">
        <v>542</v>
      </c>
      <c r="K7" s="8" t="s">
        <v>543</v>
      </c>
      <c r="L7" s="8" t="s">
        <v>544</v>
      </c>
      <c r="M7" s="8" t="s">
        <v>545</v>
      </c>
      <c r="N7" s="8" t="s">
        <v>546</v>
      </c>
      <c r="O7" s="8" t="s">
        <v>547</v>
      </c>
      <c r="P7" s="8" t="s">
        <v>548</v>
      </c>
      <c r="Q7" s="8" t="s">
        <v>549</v>
      </c>
      <c r="R7" s="8" t="s">
        <v>550</v>
      </c>
      <c r="S7" s="8" t="s">
        <v>551</v>
      </c>
      <c r="T7" s="8" t="s">
        <v>552</v>
      </c>
      <c r="U7" s="8" t="s">
        <v>553</v>
      </c>
      <c r="V7" s="8" t="s">
        <v>554</v>
      </c>
      <c r="W7" s="8" t="s">
        <v>555</v>
      </c>
      <c r="X7" s="8" t="s">
        <v>556</v>
      </c>
      <c r="Y7" s="8" t="s">
        <v>557</v>
      </c>
      <c r="Z7" s="8" t="s">
        <v>558</v>
      </c>
      <c r="AA7" s="8" t="s">
        <v>559</v>
      </c>
      <c r="AB7" s="8" t="s">
        <v>560</v>
      </c>
      <c r="AC7" s="8" t="s">
        <v>561</v>
      </c>
      <c r="AD7" s="8"/>
      <c r="AE7" s="8" t="s">
        <v>719</v>
      </c>
    </row>
    <row r="8" customFormat="false" ht="15" hidden="false" customHeight="true" outlineLevel="0" collapsed="false">
      <c r="A8" s="2" t="n">
        <v>2025</v>
      </c>
      <c r="B8" s="9" t="n">
        <f aca="false">AVB!B8*$F$33+MAA!B8*$G$33+CPT!B8*$H$33</f>
        <v>1599.86478786863</v>
      </c>
      <c r="C8" s="9" t="n">
        <f aca="false">AVB!C8*$F$33+MAA!C8*$G$33+CPT!C8*$H$33</f>
        <v>210.05379437987</v>
      </c>
      <c r="D8" s="9" t="n">
        <f aca="false">B8-C8</f>
        <v>1389.81099348876</v>
      </c>
      <c r="E8" s="21" t="n">
        <f aca="false">(AVB!G8*$F$33+MAA!G8*$G$33+CPT!G8*$H$33)/F8</f>
        <v>155.875363592403</v>
      </c>
      <c r="F8" s="22" t="n">
        <f aca="false">AVB!F8*$F$33+MAA!F8*$G$33+CPT!F8*$H$33</f>
        <v>127.309698181509</v>
      </c>
      <c r="G8" s="9" t="n">
        <f aca="false">E8*F8</f>
        <v>19844.4454928819</v>
      </c>
      <c r="H8" s="9" t="n">
        <f aca="false">AVB!H8*$F$33+MAA!H8*$G$33+CPT!H8*$H$33</f>
        <v>81.2404771768273</v>
      </c>
      <c r="I8" s="9" t="n">
        <f aca="false">AVB!I8*$F$33+MAA!I8*$G$33+CPT!I8*$H$33</f>
        <v>914.657992616449</v>
      </c>
      <c r="J8" s="9" t="n">
        <f aca="false">H8+I8</f>
        <v>995.898469793276</v>
      </c>
      <c r="K8" s="9" t="n">
        <f aca="false">G8-J8</f>
        <v>18848.5470230886</v>
      </c>
      <c r="L8" s="9" t="n">
        <f aca="false">AVB!L8*$F$33+MAA!L8*$G$33+CPT!L8*$H$33</f>
        <v>6418.20398943612</v>
      </c>
      <c r="M8" s="9" t="n">
        <f aca="false">AVB!M8*$F$33+MAA!M8*$G$33+CPT!M8*$H$33</f>
        <v>519.51394745799</v>
      </c>
      <c r="N8" s="22" t="n">
        <f aca="false">AVB!N8*$F$33+MAA!N8*$G$33+CPT!N8*$H$33</f>
        <v>13.3322307581774</v>
      </c>
      <c r="O8" s="9" t="n">
        <f aca="false">SUM(L8:N8)</f>
        <v>6951.05016765228</v>
      </c>
      <c r="P8" s="9" t="n">
        <f aca="false">G8+O8</f>
        <v>26795.4956605342</v>
      </c>
      <c r="Q8" s="9" t="n">
        <f aca="false">K8+O8</f>
        <v>25799.5971907409</v>
      </c>
      <c r="R8" s="9" t="n">
        <f aca="false">AVB!R8*$F$33+MAA!R8*$G$33+CPT!R8*$H$33</f>
        <v>1249.09684283281</v>
      </c>
      <c r="S8" s="5" t="s">
        <v>580</v>
      </c>
      <c r="T8" s="5" t="s">
        <v>580</v>
      </c>
      <c r="U8" s="9" t="n">
        <f aca="false">AVB!U8*$F$33+MAA!U8*$G$33+CPT!U8*$H$33</f>
        <v>144.111477964058</v>
      </c>
      <c r="V8" s="9" t="n">
        <f aca="false">R8-U8</f>
        <v>1104.98536486875</v>
      </c>
      <c r="W8" s="9" t="n">
        <f aca="false">AVB!W8*$F$33+MAA!W8*$G$33+CPT!W8*$H$33</f>
        <v>1304.48978529152</v>
      </c>
      <c r="X8" s="9" t="n">
        <f aca="false">AVB!X8*$F$33+MAA!X8*$G$33+CPT!X8*$H$33</f>
        <v>794.82947577324</v>
      </c>
      <c r="Y8" s="13" t="n">
        <f aca="false">INDEX('10 YR UST'!$B:$B,MATCH($A8,'10 YR UST'!$A:$A,0))/100</f>
        <v>0.0418</v>
      </c>
      <c r="Z8" s="13" t="n">
        <f aca="false">B8/Q8</f>
        <v>0.062011231262277</v>
      </c>
      <c r="AA8" s="13" t="n">
        <f aca="false">D8/K8</f>
        <v>0.0737357098022622</v>
      </c>
      <c r="AB8" s="18" t="n">
        <f aca="false">Q8/B8</f>
        <v>16.1261110228644</v>
      </c>
      <c r="AC8" s="18" t="n">
        <f aca="false">K8/D8</f>
        <v>13.5619498704455</v>
      </c>
      <c r="AD8" s="13"/>
      <c r="AE8" s="13" t="n">
        <f aca="false">AVB!AE8*$F$33+MAA!AE8*$G$33+CPT!AE8*$H$33</f>
        <v>0.956986236543432</v>
      </c>
    </row>
    <row r="9" customFormat="false" ht="15" hidden="false" customHeight="true" outlineLevel="0" collapsed="false">
      <c r="A9" s="2" t="n">
        <v>2024</v>
      </c>
      <c r="B9" s="9" t="n">
        <f aca="false">AVB!B9*$F$34+MAA!B9*$G$34+CPT!B9*$H$34</f>
        <v>1590.45932211514</v>
      </c>
      <c r="C9" s="9" t="n">
        <f aca="false">AVB!C9*$F$34+MAA!C9*$G$34+CPT!C9*$H$34</f>
        <v>189.326468428022</v>
      </c>
      <c r="D9" s="9" t="n">
        <f aca="false">B9-C9</f>
        <v>1401.13285368712</v>
      </c>
      <c r="E9" s="21" t="n">
        <f aca="false">(AVB!G9*$F$34+MAA!G9*$G$34+CPT!G9*$H$34)/F9</f>
        <v>183.531300399432</v>
      </c>
      <c r="F9" s="22" t="n">
        <f aca="false">AVB!F9*$F$34+MAA!F9*$G$34+CPT!F9*$H$34</f>
        <v>128.9785260691</v>
      </c>
      <c r="G9" s="9" t="n">
        <f aca="false">E9*F9</f>
        <v>23671.596613064</v>
      </c>
      <c r="H9" s="9" t="n">
        <f aca="false">AVB!H9*$F$34+MAA!H9*$G$34+CPT!H9*$H$34</f>
        <v>97.1773249969583</v>
      </c>
      <c r="I9" s="9" t="n">
        <f aca="false">AVB!I9*$F$34+MAA!I9*$G$34+CPT!I9*$H$34</f>
        <v>739.686995258881</v>
      </c>
      <c r="J9" s="9" t="n">
        <f aca="false">H9+I9</f>
        <v>836.86432025584</v>
      </c>
      <c r="K9" s="9" t="n">
        <f aca="false">G9-J9</f>
        <v>22834.7322928082</v>
      </c>
      <c r="L9" s="9" t="n">
        <f aca="false">AVB!L9*$F$34+MAA!L9*$G$34+CPT!L9*$H$34</f>
        <v>5675.44531073482</v>
      </c>
      <c r="M9" s="9" t="n">
        <f aca="false">AVB!M9*$F$34+MAA!M9*$G$34+CPT!M9*$H$34</f>
        <v>531.556868595179</v>
      </c>
      <c r="N9" s="22" t="n">
        <f aca="false">AVB!N9*$F$34+MAA!N9*$G$34+CPT!N9*$H$34</f>
        <v>12.9641438281182</v>
      </c>
      <c r="O9" s="9" t="n">
        <f aca="false">SUM(L9:N9)</f>
        <v>6219.96632315811</v>
      </c>
      <c r="P9" s="9" t="n">
        <f aca="false">G9+O9</f>
        <v>29891.5629362222</v>
      </c>
      <c r="Q9" s="9" t="n">
        <f aca="false">K9+O9</f>
        <v>29054.6986159663</v>
      </c>
      <c r="R9" s="9" t="n">
        <f aca="false">AVB!R9*$F$34+MAA!R9*$G$34+CPT!R9*$H$34</f>
        <v>1250.35094049112</v>
      </c>
      <c r="S9" s="5" t="s">
        <v>580</v>
      </c>
      <c r="T9" s="5" t="s">
        <v>580</v>
      </c>
      <c r="U9" s="9" t="n">
        <f aca="false">AVB!U9*$F$34+MAA!U9*$G$34+CPT!U9*$H$34</f>
        <v>118.180838841308</v>
      </c>
      <c r="V9" s="9" t="n">
        <f aca="false">R9-U9</f>
        <v>1132.17010164981</v>
      </c>
      <c r="W9" s="9" t="n">
        <f aca="false">AVB!W9*$F$34+MAA!W9*$G$34+CPT!W9*$H$34</f>
        <v>1284.16008702208</v>
      </c>
      <c r="X9" s="9" t="n">
        <f aca="false">AVB!X9*$F$34+MAA!X9*$G$34+CPT!X9*$H$34</f>
        <v>780.027201905921</v>
      </c>
      <c r="Y9" s="13" t="n">
        <f aca="false">INDEX('10 YR UST'!$B:$B,MATCH($A9,'10 YR UST'!$A:$A,0))/100</f>
        <v>0.0458</v>
      </c>
      <c r="Z9" s="13" t="n">
        <f aca="false">B9/Q9</f>
        <v>0.0547401762151181</v>
      </c>
      <c r="AA9" s="13" t="n">
        <f aca="false">D9/K9</f>
        <v>0.0613597232374127</v>
      </c>
      <c r="AB9" s="18" t="n">
        <f aca="false">Q9/B9</f>
        <v>18.2681180285244</v>
      </c>
      <c r="AC9" s="18" t="n">
        <f aca="false">K9/D9</f>
        <v>16.2973355686564</v>
      </c>
      <c r="AD9" s="13"/>
      <c r="AE9" s="13" t="n">
        <f aca="false">AVB!AE9*$F$34+MAA!AE9*$G$34+CPT!AE9*$H$34</f>
        <v>0.955868618664494</v>
      </c>
    </row>
    <row r="10" customFormat="false" ht="15" hidden="false" customHeight="true" outlineLevel="0" collapsed="false">
      <c r="A10" s="2" t="n">
        <v>2023</v>
      </c>
      <c r="B10" s="9" t="n">
        <f aca="false">AVB!B10*$F$35+MAA!B10*$G$35+CPT!B10*$H$35</f>
        <v>1547.25989133161</v>
      </c>
      <c r="C10" s="9" t="n">
        <f aca="false">AVB!C10*$F$35+MAA!C10*$G$35+CPT!C10*$H$35</f>
        <v>173.732174213907</v>
      </c>
      <c r="D10" s="9" t="n">
        <f aca="false">B10-C10</f>
        <v>1373.5277171177</v>
      </c>
      <c r="E10" s="21" t="n">
        <f aca="false">(AVB!G10*$F$35+MAA!G10*$G$35+CPT!G10*$H$35)/F10</f>
        <v>156.666504427075</v>
      </c>
      <c r="F10" s="22" t="n">
        <f aca="false">AVB!F10*$F$35+MAA!F10*$G$35+CPT!F10*$H$35</f>
        <v>128.719351402093</v>
      </c>
      <c r="G10" s="9" t="n">
        <f aca="false">E10*F10</f>
        <v>20166.0108362862</v>
      </c>
      <c r="H10" s="9" t="n">
        <f aca="false">AVB!H10*$F$35+MAA!H10*$G$35+CPT!H10*$H$35</f>
        <v>119.725224192566</v>
      </c>
      <c r="I10" s="9" t="n">
        <f aca="false">AVB!I10*$F$35+MAA!I10*$G$35+CPT!I10*$H$35</f>
        <v>839.85074704563</v>
      </c>
      <c r="J10" s="9" t="n">
        <f aca="false">H10+I10</f>
        <v>959.575971238196</v>
      </c>
      <c r="K10" s="9" t="n">
        <f aca="false">G10-J10</f>
        <v>19206.434865048</v>
      </c>
      <c r="L10" s="9" t="n">
        <f aca="false">AVB!L10*$F$35+MAA!L10*$G$35+CPT!L10*$H$35</f>
        <v>5521.15938217057</v>
      </c>
      <c r="M10" s="9" t="n">
        <f aca="false">AVB!M10*$F$35+MAA!M10*$G$35+CPT!M10*$H$35</f>
        <v>533.03434854138</v>
      </c>
      <c r="N10" s="22" t="n">
        <f aca="false">AVB!N10*$F$35+MAA!N10*$G$35+CPT!N10*$H$35</f>
        <v>13.0049290491517</v>
      </c>
      <c r="O10" s="9" t="n">
        <f aca="false">SUM(L10:N10)</f>
        <v>6067.1986597611</v>
      </c>
      <c r="P10" s="9" t="n">
        <f aca="false">G10+O10</f>
        <v>26233.2094960473</v>
      </c>
      <c r="Q10" s="9" t="n">
        <f aca="false">K10+O10</f>
        <v>25273.6335248091</v>
      </c>
      <c r="R10" s="9" t="n">
        <f aca="false">AVB!R10*$F$35+MAA!R10*$G$35+CPT!R10*$H$35</f>
        <v>1225.17197073008</v>
      </c>
      <c r="S10" s="5" t="s">
        <v>580</v>
      </c>
      <c r="T10" s="5" t="s">
        <v>580</v>
      </c>
      <c r="U10" s="9" t="n">
        <f aca="false">AVB!U10*$F$35+MAA!U10*$G$35+CPT!U10*$H$35</f>
        <v>114.990347415304</v>
      </c>
      <c r="V10" s="9" t="n">
        <f aca="false">R10-U10</f>
        <v>1110.18162331477</v>
      </c>
      <c r="W10" s="9" t="n">
        <f aca="false">AVB!W10*$F$35+MAA!W10*$G$35+CPT!W10*$H$35</f>
        <v>1272.59466835261</v>
      </c>
      <c r="X10" s="9" t="n">
        <f aca="false">AVB!X10*$F$35+MAA!X10*$G$35+CPT!X10*$H$35</f>
        <v>744.291383488401</v>
      </c>
      <c r="Y10" s="13" t="n">
        <f aca="false">INDEX('10 YR UST'!$B:$B,MATCH($A10,'10 YR UST'!$A:$A,0))/100</f>
        <v>0.0388</v>
      </c>
      <c r="Z10" s="13" t="n">
        <f aca="false">B10/Q10</f>
        <v>0.0612203183927941</v>
      </c>
      <c r="AA10" s="13" t="n">
        <f aca="false">D10/K10</f>
        <v>0.0715139340938936</v>
      </c>
      <c r="AB10" s="18" t="n">
        <f aca="false">Q10/B10</f>
        <v>16.3344462468151</v>
      </c>
      <c r="AC10" s="18" t="n">
        <f aca="false">K10/D10</f>
        <v>13.9832888886669</v>
      </c>
      <c r="AD10" s="13"/>
      <c r="AE10" s="13" t="n">
        <f aca="false">AVB!AE10*$F$35+MAA!AE10*$G$35+CPT!AE10*$H$35</f>
        <v>0.956350330072872</v>
      </c>
    </row>
    <row r="11" customFormat="false" ht="15" hidden="false" customHeight="true" outlineLevel="0" collapsed="false">
      <c r="A11" s="2" t="n">
        <v>2022</v>
      </c>
      <c r="B11" s="9" t="n">
        <f aca="false">AVB!B11*$F$36+MAA!B11*$G$36+CPT!B11*$H$36</f>
        <v>1416.78204231254</v>
      </c>
      <c r="C11" s="9" t="n">
        <f aca="false">AVB!C11*$F$36+MAA!C11*$G$36+CPT!C11*$H$36</f>
        <v>178.26104123929</v>
      </c>
      <c r="D11" s="9" t="n">
        <f aca="false">B11-C11</f>
        <v>1238.52100107325</v>
      </c>
      <c r="E11" s="21" t="n">
        <f aca="false">(AVB!G11*$F$36+MAA!G11*$G$36+CPT!G11*$H$36)/F11</f>
        <v>150.193307970569</v>
      </c>
      <c r="F11" s="22" t="n">
        <f aca="false">AVB!F11*$F$36+MAA!F11*$G$36+CPT!F11*$H$36</f>
        <v>126.009495613133</v>
      </c>
      <c r="G11" s="9" t="n">
        <f aca="false">E11*F11</f>
        <v>18925.7829818393</v>
      </c>
      <c r="H11" s="9" t="n">
        <f aca="false">AVB!H11*$F$36+MAA!H11*$G$36+CPT!H11*$H$36</f>
        <v>99.8835612349922</v>
      </c>
      <c r="I11" s="9" t="n">
        <f aca="false">AVB!I11*$F$36+MAA!I11*$G$36+CPT!I11*$H$36</f>
        <v>699.913213171205</v>
      </c>
      <c r="J11" s="9" t="n">
        <f aca="false">H11+I11</f>
        <v>799.796774406197</v>
      </c>
      <c r="K11" s="9" t="n">
        <f aca="false">G11-J11</f>
        <v>18125.9862074331</v>
      </c>
      <c r="L11" s="9" t="n">
        <f aca="false">AVB!L11*$F$36+MAA!L11*$G$36+CPT!L11*$H$36</f>
        <v>5402.12599252422</v>
      </c>
      <c r="M11" s="9" t="n">
        <f aca="false">AVB!M11*$F$36+MAA!M11*$G$36+CPT!M11*$H$36</f>
        <v>551.404870715431</v>
      </c>
      <c r="N11" s="22" t="n">
        <f aca="false">AVB!N11*$F$36+MAA!N11*$G$36+CPT!N11*$H$36</f>
        <v>14.5138742417691</v>
      </c>
      <c r="O11" s="9" t="n">
        <f aca="false">SUM(L11:N11)</f>
        <v>5968.04473748142</v>
      </c>
      <c r="P11" s="9" t="n">
        <f aca="false">G11+O11</f>
        <v>24893.8277193207</v>
      </c>
      <c r="Q11" s="9" t="n">
        <f aca="false">K11+O11</f>
        <v>24094.0309449146</v>
      </c>
      <c r="R11" s="9" t="n">
        <f aca="false">AVB!R11*$F$36+MAA!R11*$G$36+CPT!R11*$H$36</f>
        <v>1100.57903886544</v>
      </c>
      <c r="S11" s="5" t="s">
        <v>580</v>
      </c>
      <c r="T11" s="5" t="s">
        <v>580</v>
      </c>
      <c r="U11" s="9" t="n">
        <f aca="false">AVB!U11*$F$36+MAA!U11*$G$36+CPT!U11*$H$36</f>
        <v>102.592687283095</v>
      </c>
      <c r="V11" s="9" t="n">
        <f aca="false">R11-U11</f>
        <v>997.98635158234</v>
      </c>
      <c r="W11" s="9" t="n">
        <f aca="false">AVB!W11*$F$36+MAA!W11*$G$36+CPT!W11*$H$36</f>
        <v>1145.83396555417</v>
      </c>
      <c r="X11" s="9" t="n">
        <f aca="false">AVB!X11*$F$36+MAA!X11*$G$36+CPT!X11*$H$36</f>
        <v>665.085791778947</v>
      </c>
      <c r="Y11" s="13" t="n">
        <f aca="false">INDEX('10 YR UST'!$B:$B,MATCH($A11,'10 YR UST'!$A:$A,0))/100</f>
        <v>0.0388</v>
      </c>
      <c r="Z11" s="13" t="n">
        <f aca="false">B11/Q11</f>
        <v>0.0588022006592292</v>
      </c>
      <c r="AA11" s="13" t="n">
        <f aca="false">D11/K11</f>
        <v>0.0683284753116141</v>
      </c>
      <c r="AB11" s="18" t="n">
        <f aca="false">Q11/B11</f>
        <v>17.0061662452942</v>
      </c>
      <c r="AC11" s="18" t="n">
        <f aca="false">K11/D11</f>
        <v>14.6351868008099</v>
      </c>
      <c r="AD11" s="5"/>
      <c r="AE11" s="13" t="n">
        <f aca="false">AVB!AE11*$F$36+MAA!AE11*$G$36+CPT!AE11*$H$36</f>
        <v>0.960802993624591</v>
      </c>
    </row>
    <row r="12" customFormat="false" ht="15" hidden="false" customHeight="true" outlineLevel="0" collapsed="false">
      <c r="A12" s="2" t="n">
        <v>2021</v>
      </c>
      <c r="B12" s="9" t="n">
        <f aca="false">AVB!B12*$F$37+MAA!B12*$G$37+CPT!B12*$H$37</f>
        <v>1201.06717894722</v>
      </c>
      <c r="C12" s="9" t="n">
        <f aca="false">AVB!C12*$F$37+MAA!C12*$G$37+CPT!C12*$H$37</f>
        <v>171.477855216908</v>
      </c>
      <c r="D12" s="9" t="n">
        <f aca="false">B12-C12</f>
        <v>1029.58932373031</v>
      </c>
      <c r="E12" s="21" t="n">
        <f aca="false">(AVB!G12*$F$37+MAA!G12*$G$37+CPT!G12*$H$37)/F12</f>
        <v>231.01753860455</v>
      </c>
      <c r="F12" s="22" t="n">
        <f aca="false">AVB!F12*$F$37+MAA!F12*$G$37+CPT!F12*$H$37</f>
        <v>125.313562969015</v>
      </c>
      <c r="G12" s="9" t="n">
        <f aca="false">E12*F12</f>
        <v>28949.6308708681</v>
      </c>
      <c r="H12" s="9" t="n">
        <f aca="false">AVB!H12*$F$37+MAA!H12*$G$37+CPT!H12*$H$37</f>
        <v>73.3143948870299</v>
      </c>
      <c r="I12" s="9" t="n">
        <f aca="false">AVB!I12*$F$37+MAA!I12*$G$37+CPT!I12*$H$37</f>
        <v>547.52323156123</v>
      </c>
      <c r="J12" s="9" t="n">
        <f aca="false">H12+I12</f>
        <v>620.83762644826</v>
      </c>
      <c r="K12" s="9" t="n">
        <f aca="false">G12-J12</f>
        <v>28328.7932444198</v>
      </c>
      <c r="L12" s="9" t="n">
        <f aca="false">AVB!L12*$F$37+MAA!L12*$G$37+CPT!L12*$H$37</f>
        <v>5345.81641855434</v>
      </c>
      <c r="M12" s="9" t="n">
        <f aca="false">AVB!M12*$F$37+MAA!M12*$G$37+CPT!M12*$H$37</f>
        <v>454.50160831078</v>
      </c>
      <c r="N12" s="22" t="n">
        <f aca="false">AVB!N12*$F$37+MAA!N12*$G$37+CPT!N12*$H$37</f>
        <v>14.2697438566151</v>
      </c>
      <c r="O12" s="9" t="n">
        <f aca="false">SUM(L12:N12)</f>
        <v>5814.58777072174</v>
      </c>
      <c r="P12" s="9" t="n">
        <f aca="false">G12+O12</f>
        <v>34764.2186415898</v>
      </c>
      <c r="Q12" s="9" t="n">
        <f aca="false">K12+O12</f>
        <v>34143.3810151415</v>
      </c>
      <c r="R12" s="9" t="n">
        <f aca="false">AVB!R12*$F$37+MAA!R12*$G$37+CPT!R12*$H$37</f>
        <v>911.970472242585</v>
      </c>
      <c r="S12" s="5" t="s">
        <v>580</v>
      </c>
      <c r="T12" s="5" t="s">
        <v>580</v>
      </c>
      <c r="U12" s="9" t="n">
        <f aca="false">AVB!U12*$F$37+MAA!U12*$G$37+CPT!U12*$H$37</f>
        <v>88.058581529144</v>
      </c>
      <c r="V12" s="9" t="n">
        <f aca="false">R12-U12</f>
        <v>823.911890713441</v>
      </c>
      <c r="W12" s="9" t="n">
        <f aca="false">AVB!W12*$F$37+MAA!W12*$G$37+CPT!W12*$H$37</f>
        <v>959.294008811914</v>
      </c>
      <c r="X12" s="9" t="n">
        <f aca="false">AVB!X12*$F$37+MAA!X12*$G$37+CPT!X12*$H$37</f>
        <v>631.788784449565</v>
      </c>
      <c r="Y12" s="13" t="n">
        <f aca="false">INDEX('10 YR UST'!$B:$B,MATCH($A12,'10 YR UST'!$A:$A,0))/100</f>
        <v>0.0152</v>
      </c>
      <c r="Z12" s="13" t="n">
        <f aca="false">B12/Q12</f>
        <v>0.0351771600596491</v>
      </c>
      <c r="AA12" s="13" t="n">
        <f aca="false">D12/K12</f>
        <v>0.0363442704688143</v>
      </c>
      <c r="AB12" s="18" t="n">
        <f aca="false">Q12/B12</f>
        <v>28.4275364555957</v>
      </c>
      <c r="AC12" s="18" t="n">
        <f aca="false">K12/D12</f>
        <v>27.5146532617312</v>
      </c>
      <c r="AD12" s="13"/>
      <c r="AE12" s="13" t="n">
        <f aca="false">AVB!AE12*$F$37+MAA!AE12*$G$37+CPT!AE12*$H$37</f>
        <v>0.962151087691463</v>
      </c>
    </row>
    <row r="13" customFormat="false" ht="15" hidden="false" customHeight="true" outlineLevel="0" collapsed="false">
      <c r="A13" s="2" t="n">
        <v>2020</v>
      </c>
      <c r="B13" s="9" t="n">
        <f aca="false">AVB!B13*$F$38+MAA!B13*$G$38+CPT!B13*$H$38</f>
        <v>1197.96462836029</v>
      </c>
      <c r="C13" s="9" t="n">
        <f aca="false">AVB!C13*$F$38+MAA!C13*$G$38+CPT!C13*$H$38</f>
        <v>173.754564525728</v>
      </c>
      <c r="D13" s="9" t="n">
        <f aca="false">B13-C13</f>
        <v>1024.21006383456</v>
      </c>
      <c r="E13" s="21" t="n">
        <f aca="false">(AVB!G13*$F$38+MAA!G13*$G$38+CPT!G13*$H$38)/F13</f>
        <v>140.030304596614</v>
      </c>
      <c r="F13" s="22" t="n">
        <f aca="false">AVB!F13*$F$38+MAA!F13*$G$38+CPT!F13*$H$38</f>
        <v>124.851684700366</v>
      </c>
      <c r="G13" s="9" t="n">
        <f aca="false">E13*F13</f>
        <v>17483.0194379928</v>
      </c>
      <c r="H13" s="9" t="n">
        <f aca="false">AVB!H13*$F$38+MAA!H13*$G$38+CPT!H13*$H$38</f>
        <v>71.5452859212139</v>
      </c>
      <c r="I13" s="9" t="n">
        <f aca="false">AVB!I13*$F$38+MAA!I13*$G$38+CPT!I13*$H$38</f>
        <v>677.112845991842</v>
      </c>
      <c r="J13" s="9" t="n">
        <f aca="false">H13+I13</f>
        <v>748.658131913056</v>
      </c>
      <c r="K13" s="9" t="n">
        <f aca="false">G13-J13</f>
        <v>16734.3613060797</v>
      </c>
      <c r="L13" s="9" t="n">
        <f aca="false">AVB!L13*$F$38+MAA!L13*$G$38+CPT!L13*$H$38</f>
        <v>5131.54698608965</v>
      </c>
      <c r="M13" s="9" t="n">
        <f aca="false">AVB!M13*$F$38+MAA!M13*$G$38+CPT!M13*$H$38</f>
        <v>562.620309169651</v>
      </c>
      <c r="N13" s="22" t="n">
        <f aca="false">AVB!N13*$F$38+MAA!N13*$G$38+CPT!N13*$H$38</f>
        <v>13.7411799411382</v>
      </c>
      <c r="O13" s="9" t="n">
        <f aca="false">SUM(L13:N13)</f>
        <v>5707.90847520044</v>
      </c>
      <c r="P13" s="9" t="n">
        <f aca="false">G13+O13</f>
        <v>23190.9279131932</v>
      </c>
      <c r="Q13" s="9" t="n">
        <f aca="false">K13+O13</f>
        <v>22442.2697812802</v>
      </c>
      <c r="R13" s="9" t="n">
        <f aca="false">AVB!R13*$F$38+MAA!R13*$G$38+CPT!R13*$H$38</f>
        <v>923.584959970018</v>
      </c>
      <c r="S13" s="5" t="s">
        <v>580</v>
      </c>
      <c r="T13" s="5" t="s">
        <v>580</v>
      </c>
      <c r="U13" s="9" t="n">
        <f aca="false">AVB!U13*$F$38+MAA!U13*$G$38+CPT!U13*$H$38</f>
        <v>78.2705792083137</v>
      </c>
      <c r="V13" s="9" t="n">
        <f aca="false">R13-U13</f>
        <v>845.314380761704</v>
      </c>
      <c r="W13" s="9" t="n">
        <f aca="false">AVB!W13*$F$38+MAA!W13*$G$38+CPT!W13*$H$38</f>
        <v>947.874517850079</v>
      </c>
      <c r="X13" s="9" t="n">
        <f aca="false">AVB!X13*$F$38+MAA!X13*$G$38+CPT!X13*$H$38</f>
        <v>638.514925743794</v>
      </c>
      <c r="Y13" s="13" t="n">
        <f aca="false">INDEX('10 YR UST'!$B:$B,MATCH($A13,'10 YR UST'!$A:$A,0))/100</f>
        <v>0.0093</v>
      </c>
      <c r="Z13" s="13" t="n">
        <f aca="false">B13/Q13</f>
        <v>0.053379833681509</v>
      </c>
      <c r="AA13" s="13" t="n">
        <f aca="false">D13/K13</f>
        <v>0.0612040128153835</v>
      </c>
      <c r="AB13" s="18" t="n">
        <f aca="false">Q13/B13</f>
        <v>18.7336664622544</v>
      </c>
      <c r="AC13" s="18" t="n">
        <f aca="false">K13/D13</f>
        <v>16.338797964382</v>
      </c>
      <c r="AD13" s="13"/>
      <c r="AE13" s="13" t="n">
        <f aca="false">AVB!AE13*$F$38+MAA!AE13*$G$38+CPT!AE13*$H$38</f>
        <v>0.951257900219462</v>
      </c>
    </row>
    <row r="14" customFormat="false" ht="15" hidden="false" customHeight="true" outlineLevel="0" collapsed="false">
      <c r="A14" s="2" t="n">
        <v>2019</v>
      </c>
      <c r="B14" s="9" t="n">
        <f aca="false">AVB!B14*$F$39+MAA!B14*$G$39+CPT!B14*$H$39</f>
        <v>1271.60546008899</v>
      </c>
      <c r="C14" s="9" t="n">
        <f aca="false">AVB!C14*$F$39+MAA!C14*$G$39+CPT!C14*$H$39</f>
        <v>173.680029504155</v>
      </c>
      <c r="D14" s="9" t="n">
        <f aca="false">B14-C14</f>
        <v>1097.92543058484</v>
      </c>
      <c r="E14" s="21" t="n">
        <f aca="false">(AVB!G14*$F$39+MAA!G14*$G$39+CPT!G14*$H$39)/F14</f>
        <v>172.993412504729</v>
      </c>
      <c r="F14" s="22" t="n">
        <f aca="false">AVB!F14*$F$39+MAA!F14*$G$39+CPT!F14*$H$39</f>
        <v>126.723628707758</v>
      </c>
      <c r="G14" s="9" t="n">
        <f aca="false">E14*F14</f>
        <v>21922.3529751374</v>
      </c>
      <c r="H14" s="9" t="n">
        <f aca="false">AVB!H14*$F$39+MAA!H14*$G$39+CPT!H14*$H$39</f>
        <v>10.1090299589874</v>
      </c>
      <c r="I14" s="9" t="n">
        <f aca="false">AVB!I14*$F$39+MAA!I14*$G$39+CPT!I14*$H$39</f>
        <v>808.456081777526</v>
      </c>
      <c r="J14" s="9" t="n">
        <f aca="false">H14+I14</f>
        <v>818.565111736514</v>
      </c>
      <c r="K14" s="9" t="n">
        <f aca="false">G14-J14</f>
        <v>21103.7878634008</v>
      </c>
      <c r="L14" s="9" t="n">
        <f aca="false">AVB!L14*$F$39+MAA!L14*$G$39+CPT!L14*$H$39</f>
        <v>4901.7610942804</v>
      </c>
      <c r="M14" s="9" t="n">
        <f aca="false">AVB!M14*$F$39+MAA!M14*$G$39+CPT!M14*$H$39</f>
        <v>671.377644946288</v>
      </c>
      <c r="N14" s="22" t="n">
        <f aca="false">AVB!N14*$F$39+MAA!N14*$G$39+CPT!N14*$H$39</f>
        <v>12.6969451397872</v>
      </c>
      <c r="O14" s="9" t="n">
        <f aca="false">SUM(L14:N14)</f>
        <v>5585.83568436648</v>
      </c>
      <c r="P14" s="9" t="n">
        <f aca="false">G14+O14</f>
        <v>27508.1886595038</v>
      </c>
      <c r="Q14" s="9" t="n">
        <f aca="false">K14+O14</f>
        <v>26689.6235477673</v>
      </c>
      <c r="R14" s="9" t="n">
        <f aca="false">AVB!R14*$F$39+MAA!R14*$G$39+CPT!R14*$H$39</f>
        <v>999.053634537077</v>
      </c>
      <c r="S14" s="5" t="s">
        <v>580</v>
      </c>
      <c r="T14" s="5" t="s">
        <v>580</v>
      </c>
      <c r="U14" s="9" t="n">
        <f aca="false">AVB!U14*$F$39+MAA!U14*$G$39+CPT!U14*$H$39</f>
        <v>81.258355416754</v>
      </c>
      <c r="V14" s="9" t="n">
        <f aca="false">R14-U14</f>
        <v>917.795279120323</v>
      </c>
      <c r="W14" s="9" t="n">
        <f aca="false">AVB!W14*$F$39+MAA!W14*$G$39+CPT!W14*$H$39</f>
        <v>1020.52304883034</v>
      </c>
      <c r="X14" s="9" t="n">
        <f aca="false">AVB!X14*$F$39+MAA!X14*$G$39+CPT!X14*$H$39</f>
        <v>629.1044648608</v>
      </c>
      <c r="Y14" s="13" t="n">
        <f aca="false">INDEX('10 YR UST'!$B:$B,MATCH($A14,'10 YR UST'!$A:$A,0))/100</f>
        <v>0.0192</v>
      </c>
      <c r="Z14" s="13" t="n">
        <f aca="false">B14/Q14</f>
        <v>0.0476441886792879</v>
      </c>
      <c r="AA14" s="13" t="n">
        <f aca="false">D14/K14</f>
        <v>0.0520250410822651</v>
      </c>
      <c r="AB14" s="18" t="n">
        <f aca="false">Q14/B14</f>
        <v>20.9889186429724</v>
      </c>
      <c r="AC14" s="18" t="n">
        <f aca="false">K14/D14</f>
        <v>19.2215129329497</v>
      </c>
      <c r="AD14" s="5"/>
      <c r="AE14" s="13" t="n">
        <f aca="false">AVB!AE14*$F$39+MAA!AE14*$G$39+CPT!AE14*$H$39</f>
        <v>0.959894234377884</v>
      </c>
    </row>
    <row r="15" customFormat="false" ht="15" hidden="false" customHeight="true" outlineLevel="0" collapsed="false">
      <c r="A15" s="2" t="n">
        <v>2018</v>
      </c>
      <c r="B15" s="9" t="n">
        <f aca="false">AVB!B15*$F$40+MAA!B15*$G$40+CPT!B15*$H$40</f>
        <v>1203.51944197578</v>
      </c>
      <c r="C15" s="9" t="n">
        <f aca="false">AVB!C15*$F$40+MAA!C15*$G$40+CPT!C15*$H$40</f>
        <v>181.539811389864</v>
      </c>
      <c r="D15" s="9" t="n">
        <f aca="false">B15-C15</f>
        <v>1021.97963058592</v>
      </c>
      <c r="E15" s="21" t="n">
        <f aca="false">(AVB!G15*$F$40+MAA!G15*$G$40+CPT!G15*$H$40)/F15</f>
        <v>140.347344207807</v>
      </c>
      <c r="F15" s="22" t="n">
        <f aca="false">AVB!F15*$F$40+MAA!F15*$G$40+CPT!F15*$H$40</f>
        <v>124.841053194524</v>
      </c>
      <c r="G15" s="9" t="n">
        <f aca="false">E15*F15</f>
        <v>17521.110263957</v>
      </c>
      <c r="H15" s="9" t="n">
        <f aca="false">AVB!H15*$F$40+MAA!H15*$G$40+CPT!H15*$H$40</f>
        <v>61.0985953395312</v>
      </c>
      <c r="I15" s="9" t="n">
        <f aca="false">AVB!I15*$F$40+MAA!I15*$G$40+CPT!I15*$H$40</f>
        <v>1003.9693512839</v>
      </c>
      <c r="J15" s="9" t="n">
        <f aca="false">H15+I15</f>
        <v>1065.06794662343</v>
      </c>
      <c r="K15" s="9" t="n">
        <f aca="false">G15-J15</f>
        <v>16456.0423173336</v>
      </c>
      <c r="L15" s="9" t="n">
        <f aca="false">AVB!L15*$F$40+MAA!L15*$G$40+CPT!L15*$H$40</f>
        <v>4606.963675132</v>
      </c>
      <c r="M15" s="9" t="n">
        <f aca="false">AVB!M15*$F$40+MAA!M15*$G$40+CPT!M15*$H$40</f>
        <v>824.140732212825</v>
      </c>
      <c r="N15" s="22" t="n">
        <f aca="false">AVB!N15*$F$40+MAA!N15*$G$40+CPT!N15*$H$40</f>
        <v>12.2795520075991</v>
      </c>
      <c r="O15" s="9" t="n">
        <f aca="false">SUM(L15:N15)</f>
        <v>5443.38395935242</v>
      </c>
      <c r="P15" s="9" t="n">
        <f aca="false">G15+O15</f>
        <v>22964.4942233094</v>
      </c>
      <c r="Q15" s="9" t="n">
        <f aca="false">K15+O15</f>
        <v>21899.426276686</v>
      </c>
      <c r="R15" s="9" t="n">
        <f aca="false">AVB!R15*$F$40+MAA!R15*$G$40+CPT!R15*$H$40</f>
        <v>945.300821256493</v>
      </c>
      <c r="S15" s="5" t="s">
        <v>580</v>
      </c>
      <c r="T15" s="5" t="s">
        <v>580</v>
      </c>
      <c r="U15" s="9" t="n">
        <f aca="false">AVB!U15*$F$40+MAA!U15*$G$40+CPT!U15*$H$40</f>
        <v>71.2532745986048</v>
      </c>
      <c r="V15" s="9" t="n">
        <f aca="false">R15-U15</f>
        <v>874.047546657889</v>
      </c>
      <c r="W15" s="9" t="n">
        <f aca="false">AVB!W15*$F$40+MAA!W15*$G$40+CPT!W15*$H$40</f>
        <v>988.910319834914</v>
      </c>
      <c r="X15" s="9" t="n">
        <f aca="false">AVB!X15*$F$40+MAA!X15*$G$40+CPT!X15*$H$40</f>
        <v>603.8810431197</v>
      </c>
      <c r="Y15" s="13" t="n">
        <f aca="false">INDEX('10 YR UST'!$B:$B,MATCH($A15,'10 YR UST'!$A:$A,0))/100</f>
        <v>0.0269</v>
      </c>
      <c r="Z15" s="13" t="n">
        <f aca="false">B15/Q15</f>
        <v>0.0549566653833778</v>
      </c>
      <c r="AA15" s="13" t="n">
        <f aca="false">D15/K15</f>
        <v>0.0621036097792141</v>
      </c>
      <c r="AB15" s="18" t="n">
        <f aca="false">Q15/B15</f>
        <v>18.196154970903</v>
      </c>
      <c r="AC15" s="18" t="n">
        <f aca="false">K15/D15</f>
        <v>16.1021235891943</v>
      </c>
      <c r="AD15" s="5"/>
      <c r="AE15" s="13" t="n">
        <f aca="false">AVB!AE15*$F$40+MAA!AE15*$G$40+CPT!AE15*$H$40</f>
        <v>0.960238505735656</v>
      </c>
    </row>
    <row r="16" customFormat="false" ht="15" hidden="false" customHeight="true" outlineLevel="0" collapsed="false">
      <c r="A16" s="2" t="n">
        <v>2017</v>
      </c>
      <c r="B16" s="9" t="n">
        <f aca="false">AVB!B16*$F$41+MAA!B16*$G$41+CPT!B16*$H$41</f>
        <v>1166.93744058576</v>
      </c>
      <c r="C16" s="9" t="n">
        <f aca="false">AVB!C16*$F$41+MAA!C16*$G$41+CPT!C16*$H$41</f>
        <v>165.898240615584</v>
      </c>
      <c r="D16" s="9" t="n">
        <f aca="false">B16-C16</f>
        <v>1001.03919997018</v>
      </c>
      <c r="E16" s="21" t="n">
        <f aca="false">(AVB!G16*$F$41+MAA!G16*$G$41+CPT!G16*$H$41)/F16</f>
        <v>145.122145151451</v>
      </c>
      <c r="F16" s="22" t="n">
        <f aca="false">AVB!F16*$F$41+MAA!F16*$G$41+CPT!F16*$H$41</f>
        <v>124.725190099754</v>
      </c>
      <c r="G16" s="9" t="n">
        <f aca="false">E16*F16</f>
        <v>18100.3871416988</v>
      </c>
      <c r="H16" s="9" t="n">
        <f aca="false">AVB!H16*$F$41+MAA!H16*$G$41+CPT!H16*$H$41</f>
        <v>52.460762010289</v>
      </c>
      <c r="I16" s="9" t="n">
        <f aca="false">AVB!I16*$F$41+MAA!I16*$G$41+CPT!I16*$H$41</f>
        <v>797.507591256425</v>
      </c>
      <c r="J16" s="9" t="n">
        <f aca="false">H16+I16</f>
        <v>849.968353266713</v>
      </c>
      <c r="K16" s="9" t="n">
        <f aca="false">G16-J16</f>
        <v>17250.4187884321</v>
      </c>
      <c r="L16" s="9" t="n">
        <f aca="false">AVB!L16*$F$41+MAA!L16*$G$41+CPT!L16*$H$41</f>
        <v>4353.21063623496</v>
      </c>
      <c r="M16" s="9" t="n">
        <f aca="false">AVB!M16*$F$41+MAA!M16*$G$41+CPT!M16*$H$41</f>
        <v>1221.5446316253</v>
      </c>
      <c r="N16" s="22" t="n">
        <f aca="false">AVB!N16*$F$41+MAA!N16*$G$41+CPT!N16*$H$41</f>
        <v>12.2239409009796</v>
      </c>
      <c r="O16" s="9" t="n">
        <f aca="false">SUM(L16:N16)</f>
        <v>5586.97920876124</v>
      </c>
      <c r="P16" s="9" t="n">
        <f aca="false">G16+O16</f>
        <v>23687.3663504601</v>
      </c>
      <c r="Q16" s="9" t="n">
        <f aca="false">K16+O16</f>
        <v>22837.3979971934</v>
      </c>
      <c r="R16" s="9" t="n">
        <f aca="false">AVB!R16*$F$41+MAA!R16*$G$41+CPT!R16*$H$41</f>
        <v>908.619251107022</v>
      </c>
      <c r="S16" s="5" t="s">
        <v>580</v>
      </c>
      <c r="T16" s="5" t="s">
        <v>580</v>
      </c>
      <c r="U16" s="9" t="n">
        <f aca="false">AVB!U16*$F$41+MAA!U16*$G$41+CPT!U16*$H$41</f>
        <v>64.9274604812986</v>
      </c>
      <c r="V16" s="9" t="n">
        <f aca="false">R16-U16</f>
        <v>843.691790625724</v>
      </c>
      <c r="W16" s="9" t="n">
        <f aca="false">AVB!W16*$F$41+MAA!W16*$G$41+CPT!W16*$H$41</f>
        <v>934.251038930881</v>
      </c>
      <c r="X16" s="9" t="n">
        <f aca="false">AVB!X16*$F$41+MAA!X16*$G$41+CPT!X16*$H$41</f>
        <v>578.508009144895</v>
      </c>
      <c r="Y16" s="13" t="n">
        <f aca="false">INDEX('10 YR UST'!$B:$B,MATCH($A16,'10 YR UST'!$A:$A,0))/100</f>
        <v>0.024</v>
      </c>
      <c r="Z16" s="13" t="n">
        <f aca="false">B16/Q16</f>
        <v>0.0510976531008118</v>
      </c>
      <c r="AA16" s="13" t="n">
        <f aca="false">D16/K16</f>
        <v>0.0580298491443848</v>
      </c>
      <c r="AB16" s="18" t="n">
        <f aca="false">Q16/B16</f>
        <v>19.570370443963</v>
      </c>
      <c r="AC16" s="18" t="n">
        <f aca="false">K16/D16</f>
        <v>17.2325107637603</v>
      </c>
      <c r="AD16" s="5"/>
      <c r="AE16" s="13" t="n">
        <f aca="false">AVB!AE16*$F$41+MAA!AE16*$G$41+CPT!AE16*$H$41</f>
        <v>0.956971953233796</v>
      </c>
    </row>
    <row r="17" customFormat="false" ht="15" hidden="false" customHeight="true" outlineLevel="0" collapsed="false">
      <c r="A17" s="2" t="n">
        <v>2016</v>
      </c>
      <c r="B17" s="9" t="n">
        <f aca="false">AVB!B17*$F$42+MAA!B17*$G$42+CPT!B17*$H$42</f>
        <v>1056.86335369464</v>
      </c>
      <c r="C17" s="9" t="n">
        <f aca="false">AVB!C17*$F$42+MAA!C17*$G$42+CPT!C17*$H$42</f>
        <v>154.203075840352</v>
      </c>
      <c r="D17" s="9" t="n">
        <f aca="false">B17-C17</f>
        <v>902.66027785429</v>
      </c>
      <c r="E17" s="21" t="n">
        <f aca="false">(AVB!G17*$F$42+MAA!G17*$G$42+CPT!G17*$H$42)/F17</f>
        <v>143.179091115049</v>
      </c>
      <c r="F17" s="22" t="n">
        <f aca="false">AVB!F17*$F$42+MAA!F17*$G$42+CPT!F17*$H$42</f>
        <v>123.642090749647</v>
      </c>
      <c r="G17" s="9" t="n">
        <f aca="false">E17*F17</f>
        <v>17702.9621770988</v>
      </c>
      <c r="H17" s="9" t="n">
        <f aca="false">AVB!H17*$F$42+MAA!H17*$G$42+CPT!H17*$H$42</f>
        <v>65.6189861775613</v>
      </c>
      <c r="I17" s="9" t="n">
        <f aca="false">AVB!I17*$F$42+MAA!I17*$G$42+CPT!I17*$H$42</f>
        <v>1152.21012671103</v>
      </c>
      <c r="J17" s="9" t="n">
        <f aca="false">H17+I17</f>
        <v>1217.82911288859</v>
      </c>
      <c r="K17" s="9" t="n">
        <f aca="false">G17-J17</f>
        <v>16485.1330642102</v>
      </c>
      <c r="L17" s="9" t="n">
        <f aca="false">AVB!L17*$F$42+MAA!L17*$G$42+CPT!L17*$H$42</f>
        <v>3582.87758831819</v>
      </c>
      <c r="M17" s="9" t="n">
        <f aca="false">AVB!M17*$F$42+MAA!M17*$G$42+CPT!M17*$H$42</f>
        <v>1912.13393584877</v>
      </c>
      <c r="N17" s="22" t="n">
        <f aca="false">AVB!N17*$F$42+MAA!N17*$G$42+CPT!N17*$H$42</f>
        <v>12.4564805789863</v>
      </c>
      <c r="O17" s="9" t="n">
        <f aca="false">SUM(L17:N17)</f>
        <v>5507.46800474594</v>
      </c>
      <c r="P17" s="9" t="n">
        <f aca="false">G17+O17</f>
        <v>23210.4301818447</v>
      </c>
      <c r="Q17" s="9" t="n">
        <f aca="false">K17+O17</f>
        <v>21992.6010689561</v>
      </c>
      <c r="R17" s="9" t="n">
        <f aca="false">AVB!R17*$F$42+MAA!R17*$G$42+CPT!R17*$H$42</f>
        <v>818.573663696896</v>
      </c>
      <c r="S17" s="5" t="s">
        <v>580</v>
      </c>
      <c r="T17" s="5" t="s">
        <v>580</v>
      </c>
      <c r="U17" s="9" t="n">
        <f aca="false">AVB!U17*$F$42+MAA!U17*$G$42+CPT!U17*$H$42</f>
        <v>59.8763312609057</v>
      </c>
      <c r="V17" s="9" t="n">
        <f aca="false">R17-U17</f>
        <v>758.69733243599</v>
      </c>
      <c r="W17" s="9" t="n">
        <f aca="false">AVB!W17*$F$42+MAA!W17*$G$42+CPT!W17*$H$42</f>
        <v>829.611757847674</v>
      </c>
      <c r="X17" s="9" t="n">
        <f aca="false">AVB!X17*$F$42+MAA!X17*$G$42+CPT!X17*$H$42</f>
        <v>581.919125424994</v>
      </c>
      <c r="Y17" s="13" t="n">
        <f aca="false">INDEX('10 YR UST'!$B:$B,MATCH($A17,'10 YR UST'!$A:$A,0))/100</f>
        <v>0.0245</v>
      </c>
      <c r="Z17" s="13" t="n">
        <f aca="false">B17/Q17</f>
        <v>0.0480554051056047</v>
      </c>
      <c r="AA17" s="13" t="n">
        <f aca="false">D17/K17</f>
        <v>0.0547560201266435</v>
      </c>
      <c r="AB17" s="18" t="n">
        <f aca="false">Q17/B17</f>
        <v>20.809313703681</v>
      </c>
      <c r="AC17" s="18" t="n">
        <f aca="false">K17/D17</f>
        <v>18.2628320627966</v>
      </c>
      <c r="AD17" s="5"/>
      <c r="AE17" s="13" t="n">
        <f aca="false">AVB!AE17*$F$42+MAA!AE17*$G$42+CPT!AE17*$H$42</f>
        <v>0.956831619537236</v>
      </c>
    </row>
    <row r="20" customFormat="false" ht="15" hidden="false" customHeight="true" outlineLevel="0" collapsed="false">
      <c r="A20" s="2" t="s">
        <v>720</v>
      </c>
    </row>
    <row r="21" customFormat="false" ht="15" hidden="false" customHeight="true" outlineLevel="0" collapsed="false">
      <c r="A21" s="5" t="s">
        <v>721</v>
      </c>
    </row>
    <row r="22" customFormat="false" ht="15" hidden="false" customHeight="true" outlineLevel="0" collapsed="false">
      <c r="A22" s="5" t="s">
        <v>722</v>
      </c>
    </row>
    <row r="23" customFormat="false" ht="15" hidden="false" customHeight="true" outlineLevel="0" collapsed="false">
      <c r="A23" s="5" t="s">
        <v>723</v>
      </c>
    </row>
    <row r="24" customFormat="false" ht="15" hidden="false" customHeight="true" outlineLevel="0" collapsed="false">
      <c r="A24" s="5" t="s">
        <v>724</v>
      </c>
    </row>
    <row r="25" customFormat="false" ht="15" hidden="false" customHeight="true" outlineLevel="0" collapsed="false">
      <c r="A25" s="5" t="s">
        <v>725</v>
      </c>
    </row>
    <row r="26" customFormat="false" ht="15" hidden="false" customHeight="true" outlineLevel="0" collapsed="false">
      <c r="A26" s="5" t="s">
        <v>726</v>
      </c>
    </row>
    <row r="31" customFormat="false" ht="15" hidden="false" customHeight="true" outlineLevel="0" collapsed="false">
      <c r="A31" s="2" t="s">
        <v>727</v>
      </c>
    </row>
    <row r="32" customFormat="false" ht="21.75" hidden="false" customHeight="true" outlineLevel="0" collapsed="false">
      <c r="A32" s="6" t="s">
        <v>533</v>
      </c>
      <c r="B32" s="6" t="s">
        <v>728</v>
      </c>
      <c r="C32" s="6" t="s">
        <v>729</v>
      </c>
      <c r="D32" s="6" t="s">
        <v>730</v>
      </c>
      <c r="E32" s="6" t="s">
        <v>731</v>
      </c>
      <c r="F32" s="6" t="s">
        <v>732</v>
      </c>
      <c r="G32" s="6" t="s">
        <v>733</v>
      </c>
      <c r="H32" s="6" t="s">
        <v>734</v>
      </c>
    </row>
    <row r="33" customFormat="false" ht="15" hidden="false" customHeight="true" outlineLevel="0" collapsed="false">
      <c r="A33" s="2" t="n">
        <v>2025</v>
      </c>
      <c r="B33" s="9" t="n">
        <f aca="false">AVB!Q8</f>
        <v>33336.21761412</v>
      </c>
      <c r="C33" s="9" t="n">
        <f aca="false">MAA!Q8</f>
        <v>21592.83083156</v>
      </c>
      <c r="D33" s="9" t="n">
        <f aca="false">CPT!Q8</f>
        <v>15348.95756</v>
      </c>
      <c r="E33" s="9" t="n">
        <f aca="false">B33+C33+D33</f>
        <v>70278.00600568</v>
      </c>
      <c r="F33" s="19" t="n">
        <f aca="false">B33/E33</f>
        <v>0.474347801094779</v>
      </c>
      <c r="G33" s="19" t="n">
        <f aca="false">C33/E33</f>
        <v>0.307248768979228</v>
      </c>
      <c r="H33" s="19" t="n">
        <f aca="false">D33/E33</f>
        <v>0.218403429925992</v>
      </c>
    </row>
    <row r="34" customFormat="false" ht="15" hidden="false" customHeight="true" outlineLevel="0" collapsed="false">
      <c r="A34" s="2" t="n">
        <v>2024</v>
      </c>
      <c r="B34" s="9" t="n">
        <f aca="false">AVB!Q9</f>
        <v>38174.27121934</v>
      </c>
      <c r="C34" s="9" t="n">
        <f aca="false">MAA!Q9</f>
        <v>23022.76675661</v>
      </c>
      <c r="D34" s="9" t="n">
        <f aca="false">CPT!Q9</f>
        <v>15862.48984</v>
      </c>
      <c r="E34" s="9" t="n">
        <f aca="false">B34+C34+D34</f>
        <v>77059.52781595</v>
      </c>
      <c r="F34" s="19" t="n">
        <f aca="false">B34/E34</f>
        <v>0.495386778264668</v>
      </c>
      <c r="G34" s="19" t="n">
        <f aca="false">C34/E34</f>
        <v>0.298765998301961</v>
      </c>
      <c r="H34" s="19" t="n">
        <f aca="false">D34/E34</f>
        <v>0.205847223433372</v>
      </c>
    </row>
    <row r="35" customFormat="false" ht="15" hidden="false" customHeight="true" outlineLevel="0" collapsed="false">
      <c r="A35" s="2" t="n">
        <v>2023</v>
      </c>
      <c r="B35" s="9" t="n">
        <f aca="false">AVB!Q10</f>
        <v>33103.85087232</v>
      </c>
      <c r="C35" s="9" t="n">
        <f aca="false">MAA!Q10</f>
        <v>20237.78168816</v>
      </c>
      <c r="D35" s="9" t="n">
        <f aca="false">CPT!Q10</f>
        <v>14183.83344</v>
      </c>
      <c r="E35" s="9" t="n">
        <f aca="false">B35+C35+D35</f>
        <v>67525.46600048</v>
      </c>
      <c r="F35" s="19" t="n">
        <f aca="false">B35/E35</f>
        <v>0.490242464555294</v>
      </c>
      <c r="G35" s="19" t="n">
        <f aca="false">C35/E35</f>
        <v>0.299705916698393</v>
      </c>
      <c r="H35" s="19" t="n">
        <f aca="false">D35/E35</f>
        <v>0.210051618746314</v>
      </c>
    </row>
    <row r="36" customFormat="false" ht="15" hidden="false" customHeight="true" outlineLevel="0" collapsed="false">
      <c r="A36" s="2" t="n">
        <v>2022</v>
      </c>
      <c r="B36" s="9" t="n">
        <f aca="false">AVB!Q11</f>
        <v>29664.88127328</v>
      </c>
      <c r="C36" s="9" t="n">
        <f aca="false">MAA!Q11</f>
        <v>22688.06908031</v>
      </c>
      <c r="D36" s="9" t="n">
        <f aca="false">CPT!Q11</f>
        <v>15477.8358</v>
      </c>
      <c r="E36" s="9" t="n">
        <f aca="false">B36+C36+D36</f>
        <v>67830.78615359</v>
      </c>
      <c r="F36" s="19" t="n">
        <f aca="false">B36/E36</f>
        <v>0.43733653928335</v>
      </c>
      <c r="G36" s="19" t="n">
        <f aca="false">C36/E36</f>
        <v>0.334480408776881</v>
      </c>
      <c r="H36" s="19" t="n">
        <f aca="false">D36/E36</f>
        <v>0.228183051939769</v>
      </c>
    </row>
    <row r="37" customFormat="false" ht="15" hidden="false" customHeight="true" outlineLevel="0" collapsed="false">
      <c r="A37" s="2" t="n">
        <v>2021</v>
      </c>
      <c r="B37" s="9" t="n">
        <f aca="false">AVB!Q12</f>
        <v>42450.73341334</v>
      </c>
      <c r="C37" s="9" t="n">
        <f aca="false">MAA!Q12</f>
        <v>31486.60184336</v>
      </c>
      <c r="D37" s="9" t="n">
        <f aca="false">CPT!Q12</f>
        <v>21809.0276</v>
      </c>
      <c r="E37" s="9" t="n">
        <f aca="false">B37+C37+D37</f>
        <v>95746.3628567</v>
      </c>
      <c r="F37" s="19" t="n">
        <f aca="false">B37/E37</f>
        <v>0.443366537869166</v>
      </c>
      <c r="G37" s="19" t="n">
        <f aca="false">C37/E37</f>
        <v>0.328854286512009</v>
      </c>
      <c r="H37" s="19" t="n">
        <f aca="false">D37/E37</f>
        <v>0.227779175618825</v>
      </c>
    </row>
    <row r="38" customFormat="false" ht="15" hidden="false" customHeight="true" outlineLevel="0" collapsed="false">
      <c r="A38" s="2" t="n">
        <v>2020</v>
      </c>
      <c r="B38" s="9" t="n">
        <f aca="false">AVB!Q13</f>
        <v>28849.89705353</v>
      </c>
      <c r="C38" s="9" t="n">
        <f aca="false">MAA!Q13</f>
        <v>19265.70633896</v>
      </c>
      <c r="D38" s="9" t="n">
        <f aca="false">CPT!Q13</f>
        <v>12722.20768</v>
      </c>
      <c r="E38" s="9" t="n">
        <f aca="false">B38+C38+D38</f>
        <v>60837.81107249</v>
      </c>
      <c r="F38" s="19" t="n">
        <f aca="false">B38/E38</f>
        <v>0.474209978053854</v>
      </c>
      <c r="G38" s="19" t="n">
        <f aca="false">C38/E38</f>
        <v>0.316673233295727</v>
      </c>
      <c r="H38" s="19" t="n">
        <f aca="false">D38/E38</f>
        <v>0.209116788650419</v>
      </c>
    </row>
    <row r="39" customFormat="false" ht="15" hidden="false" customHeight="true" outlineLevel="0" collapsed="false">
      <c r="A39" s="2" t="n">
        <v>2019</v>
      </c>
      <c r="B39" s="9" t="n">
        <f aca="false">AVB!Q14</f>
        <v>35487.1505814</v>
      </c>
      <c r="C39" s="9" t="n">
        <f aca="false">MAA!Q14</f>
        <v>19947.84524462</v>
      </c>
      <c r="D39" s="9" t="n">
        <f aca="false">CPT!Q14</f>
        <v>12737.5351</v>
      </c>
      <c r="E39" s="9" t="n">
        <f aca="false">B39+C39+D39</f>
        <v>68172.53092602</v>
      </c>
      <c r="F39" s="19" t="n">
        <f aca="false">B39/E39</f>
        <v>0.52054911412795</v>
      </c>
      <c r="G39" s="19" t="n">
        <f aca="false">C39/E39</f>
        <v>0.292608253994078</v>
      </c>
      <c r="H39" s="19" t="n">
        <f aca="false">D39/E39</f>
        <v>0.186842631877972</v>
      </c>
    </row>
    <row r="40" customFormat="false" ht="15" hidden="false" customHeight="true" outlineLevel="0" collapsed="false">
      <c r="A40" s="2" t="n">
        <v>2018</v>
      </c>
      <c r="B40" s="9" t="n">
        <f aca="false">AVB!Q15</f>
        <v>29296.1155722</v>
      </c>
      <c r="C40" s="9" t="n">
        <f aca="false">MAA!Q15</f>
        <v>15742.3051576</v>
      </c>
      <c r="D40" s="9" t="n">
        <f aca="false">CPT!Q15</f>
        <v>10590.22335</v>
      </c>
      <c r="E40" s="9" t="n">
        <f aca="false">B40+C40+D40</f>
        <v>55628.6440798</v>
      </c>
      <c r="F40" s="19" t="n">
        <f aca="false">B40/E40</f>
        <v>0.526637239803551</v>
      </c>
      <c r="G40" s="19" t="n">
        <f aca="false">C40/E40</f>
        <v>0.282989194110456</v>
      </c>
      <c r="H40" s="19" t="n">
        <f aca="false">D40/E40</f>
        <v>0.190373566085993</v>
      </c>
    </row>
    <row r="41" customFormat="false" ht="15" hidden="false" customHeight="true" outlineLevel="0" collapsed="false">
      <c r="A41" s="2" t="n">
        <v>2017</v>
      </c>
      <c r="B41" s="9" t="n">
        <f aca="false">AVB!Q16</f>
        <v>30593.52209014</v>
      </c>
      <c r="C41" s="9" t="n">
        <f aca="false">MAA!Q16</f>
        <v>16220.79396112</v>
      </c>
      <c r="D41" s="9" t="n">
        <f aca="false">CPT!Q16</f>
        <v>10765.9327</v>
      </c>
      <c r="E41" s="9" t="n">
        <f aca="false">B41+C41+D41</f>
        <v>57580.24875126</v>
      </c>
      <c r="F41" s="19" t="n">
        <f aca="false">B41/E41</f>
        <v>0.531319727747278</v>
      </c>
      <c r="G41" s="19" t="n">
        <f aca="false">C41/E41</f>
        <v>0.281707604828037</v>
      </c>
      <c r="H41" s="19" t="n">
        <f aca="false">D41/E41</f>
        <v>0.186972667424686</v>
      </c>
    </row>
    <row r="42" customFormat="false" ht="15" hidden="false" customHeight="true" outlineLevel="0" collapsed="false">
      <c r="A42" s="2" t="n">
        <v>2016</v>
      </c>
      <c r="B42" s="9" t="n">
        <f aca="false">AVB!Q17</f>
        <v>29393.8232686</v>
      </c>
      <c r="C42" s="9" t="n">
        <f aca="false">MAA!Q17</f>
        <v>15769.3814808</v>
      </c>
      <c r="D42" s="9" t="n">
        <f aca="false">CPT!Q17</f>
        <v>9769.62541</v>
      </c>
      <c r="E42" s="9" t="n">
        <f aca="false">B42+C42+D42</f>
        <v>54932.8301594</v>
      </c>
      <c r="F42" s="19" t="n">
        <f aca="false">B42/E42</f>
        <v>0.53508663550207</v>
      </c>
      <c r="G42" s="19" t="n">
        <f aca="false">C42/E42</f>
        <v>0.287066612716687</v>
      </c>
      <c r="H42" s="19" t="n">
        <f aca="false">D42/E42</f>
        <v>0.177846751781243</v>
      </c>
    </row>
    <row r="45" customFormat="false" ht="15" hidden="false" customHeight="true" outlineLevel="0" collapsed="false">
      <c r="A45" s="2" t="s">
        <v>735</v>
      </c>
    </row>
    <row r="47" customFormat="false" ht="15" hidden="false" customHeight="true" outlineLevel="0" collapsed="false">
      <c r="A47" s="2" t="s">
        <v>736</v>
      </c>
    </row>
    <row r="48" customFormat="false" ht="15" hidden="false" customHeight="true" outlineLevel="0" collapsed="false">
      <c r="A48" s="5" t="n">
        <f aca="false">AVB!A8</f>
        <v>2025</v>
      </c>
      <c r="B48" s="9" t="n">
        <f aca="false">AVB!B8</f>
        <v>2020.949</v>
      </c>
      <c r="C48" s="9" t="n">
        <f aca="false">AVB!C8</f>
        <v>259.181</v>
      </c>
      <c r="D48" s="9" t="n">
        <f aca="false">AVB!D8</f>
        <v>1761.768</v>
      </c>
      <c r="E48" s="21" t="n">
        <f aca="false">AVB!E8</f>
        <v>181.31</v>
      </c>
      <c r="F48" s="11" t="n">
        <f aca="false">AVB!F8</f>
        <v>141.140652</v>
      </c>
      <c r="G48" s="9" t="n">
        <f aca="false">AVB!G8</f>
        <v>25590.21161412</v>
      </c>
      <c r="H48" s="9" t="n">
        <f aca="false">AVB!H8</f>
        <v>123.751</v>
      </c>
      <c r="I48" s="9" t="n">
        <f aca="false">AVB!I8</f>
        <v>1458.795</v>
      </c>
      <c r="J48" s="9" t="n">
        <f aca="false">AVB!J8</f>
        <v>1582.546</v>
      </c>
      <c r="K48" s="9" t="n">
        <f aca="false">AVB!K8</f>
        <v>24007.66561412</v>
      </c>
      <c r="L48" s="9" t="n">
        <f aca="false">AVB!L8</f>
        <v>8618.988</v>
      </c>
      <c r="M48" s="9" t="n">
        <f aca="false">AVB!M8</f>
        <v>709.564</v>
      </c>
      <c r="N48" s="9" t="n">
        <f aca="false">AVB!N8</f>
        <v>0</v>
      </c>
      <c r="O48" s="9" t="n">
        <f aca="false">AVB!O8</f>
        <v>9328.552</v>
      </c>
      <c r="P48" s="9" t="n">
        <f aca="false">AVB!P8</f>
        <v>34918.76361412</v>
      </c>
      <c r="Q48" s="9" t="n">
        <f aca="false">AVB!Q8</f>
        <v>33336.21761412</v>
      </c>
      <c r="R48" s="9" t="n">
        <f aca="false">AVB!R8</f>
        <v>1605.577</v>
      </c>
      <c r="S48" s="5" t="str">
        <f aca="false">AVB!S8</f>
        <v>n/a</v>
      </c>
      <c r="T48" s="5" t="str">
        <f aca="false">AVB!T8</f>
        <v>n/a</v>
      </c>
      <c r="U48" s="9" t="n">
        <f aca="false">AVB!U8</f>
        <v>166.317</v>
      </c>
      <c r="V48" s="9" t="n">
        <f aca="false">AVB!V8</f>
        <v>1439.26</v>
      </c>
      <c r="W48" s="9" t="n">
        <f aca="false">AVB!W8</f>
        <v>1671.105</v>
      </c>
      <c r="X48" s="9" t="n">
        <f aca="false">AVB!X8</f>
        <v>992.333</v>
      </c>
      <c r="Y48" s="13" t="n">
        <f aca="false">AVB!Y8</f>
        <v>0.0418</v>
      </c>
      <c r="Z48" s="13" t="n">
        <f aca="false">AVB!Z8</f>
        <v>0.0606232243679619</v>
      </c>
      <c r="AA48" s="13" t="n">
        <f aca="false">AVB!AA8</f>
        <v>0.0733835612473636</v>
      </c>
      <c r="AB48" s="14" t="n">
        <f aca="false">AVB!AB8</f>
        <v>16.495328488804</v>
      </c>
      <c r="AC48" s="14" t="n">
        <f aca="false">AVB!AC8</f>
        <v>13.627030127758</v>
      </c>
      <c r="AD48" s="13" t="n">
        <f aca="false">AVB!AD8</f>
        <v>0</v>
      </c>
      <c r="AE48" s="13" t="n">
        <f aca="false">AVB!AE8</f>
        <v>0.959</v>
      </c>
    </row>
    <row r="49" customFormat="false" ht="15" hidden="false" customHeight="true" outlineLevel="0" collapsed="false">
      <c r="A49" s="5" t="n">
        <f aca="false">AVB!A9</f>
        <v>2024</v>
      </c>
      <c r="B49" s="9" t="n">
        <f aca="false">AVB!B9</f>
        <v>1974.431</v>
      </c>
      <c r="C49" s="9" t="n">
        <f aca="false">AVB!C9</f>
        <v>226.589</v>
      </c>
      <c r="D49" s="9" t="n">
        <f aca="false">AVB!D9</f>
        <v>1747.842</v>
      </c>
      <c r="E49" s="21" t="n">
        <f aca="false">AVB!E9</f>
        <v>219.97</v>
      </c>
      <c r="F49" s="11" t="n">
        <f aca="false">AVB!F9</f>
        <v>142.254022</v>
      </c>
      <c r="G49" s="9" t="n">
        <f aca="false">AVB!G9</f>
        <v>31291.61721934</v>
      </c>
      <c r="H49" s="9" t="n">
        <f aca="false">AVB!H9</f>
        <v>151.922</v>
      </c>
      <c r="I49" s="9" t="n">
        <f aca="false">AVB!I9</f>
        <v>1042.673</v>
      </c>
      <c r="J49" s="9" t="n">
        <f aca="false">AVB!J9</f>
        <v>1194.595</v>
      </c>
      <c r="K49" s="9" t="n">
        <f aca="false">AVB!K9</f>
        <v>30097.02221934</v>
      </c>
      <c r="L49" s="9" t="n">
        <f aca="false">AVB!L9</f>
        <v>7358.784</v>
      </c>
      <c r="M49" s="9" t="n">
        <f aca="false">AVB!M9</f>
        <v>718.465</v>
      </c>
      <c r="N49" s="9" t="n">
        <f aca="false">AVB!N9</f>
        <v>0</v>
      </c>
      <c r="O49" s="9" t="n">
        <f aca="false">AVB!O9</f>
        <v>8077.249</v>
      </c>
      <c r="P49" s="9" t="n">
        <f aca="false">AVB!P9</f>
        <v>39368.86621934</v>
      </c>
      <c r="Q49" s="9" t="n">
        <f aca="false">AVB!Q9</f>
        <v>38174.27121934</v>
      </c>
      <c r="R49" s="9" t="n">
        <f aca="false">AVB!R9</f>
        <v>1568.394</v>
      </c>
      <c r="S49" s="5" t="str">
        <f aca="false">AVB!S9</f>
        <v>n/a</v>
      </c>
      <c r="T49" s="5" t="str">
        <f aca="false">AVB!T9</f>
        <v>n/a</v>
      </c>
      <c r="U49" s="9" t="n">
        <f aca="false">AVB!U9</f>
        <v>126.665</v>
      </c>
      <c r="V49" s="9" t="n">
        <f aca="false">AVB!V9</f>
        <v>1441.729</v>
      </c>
      <c r="W49" s="9" t="n">
        <f aca="false">AVB!W9</f>
        <v>1607.878</v>
      </c>
      <c r="X49" s="9" t="n">
        <f aca="false">AVB!X9</f>
        <v>961.914</v>
      </c>
      <c r="Y49" s="13" t="n">
        <f aca="false">AVB!Y9</f>
        <v>0.0458</v>
      </c>
      <c r="Z49" s="13" t="n">
        <f aca="false">AVB!Z9</f>
        <v>0.0517215112937037</v>
      </c>
      <c r="AA49" s="13" t="n">
        <f aca="false">AVB!AA9</f>
        <v>0.0580735857275893</v>
      </c>
      <c r="AB49" s="14" t="n">
        <f aca="false">AVB!AB9</f>
        <v>19.3343151618568</v>
      </c>
      <c r="AC49" s="14" t="n">
        <f aca="false">AVB!AC9</f>
        <v>17.2195325546245</v>
      </c>
      <c r="AD49" s="13" t="n">
        <f aca="false">AVB!AD9</f>
        <v>0</v>
      </c>
      <c r="AE49" s="13" t="n">
        <f aca="false">AVB!AE9</f>
        <v>0.958</v>
      </c>
    </row>
    <row r="50" customFormat="false" ht="15" hidden="false" customHeight="true" outlineLevel="0" collapsed="false">
      <c r="A50" s="5" t="n">
        <f aca="false">AVB!A10</f>
        <v>2023</v>
      </c>
      <c r="B50" s="9" t="n">
        <f aca="false">AVB!B10</f>
        <v>1886.748</v>
      </c>
      <c r="C50" s="9" t="n">
        <f aca="false">AVB!C10</f>
        <v>205.992</v>
      </c>
      <c r="D50" s="9" t="n">
        <f aca="false">AVB!D10</f>
        <v>1680.756</v>
      </c>
      <c r="E50" s="21" t="n">
        <f aca="false">AVB!E10</f>
        <v>187.22</v>
      </c>
      <c r="F50" s="11" t="n">
        <f aca="false">AVB!F10</f>
        <v>142.025456</v>
      </c>
      <c r="G50" s="9" t="n">
        <f aca="false">AVB!G10</f>
        <v>26590.00587232</v>
      </c>
      <c r="H50" s="9" t="n">
        <f aca="false">AVB!H10</f>
        <v>199.062</v>
      </c>
      <c r="I50" s="9" t="n">
        <f aca="false">AVB!I10</f>
        <v>1268.915</v>
      </c>
      <c r="J50" s="9" t="n">
        <f aca="false">AVB!J10</f>
        <v>1467.977</v>
      </c>
      <c r="K50" s="9" t="n">
        <f aca="false">AVB!K10</f>
        <v>25122.02887232</v>
      </c>
      <c r="L50" s="9" t="n">
        <f aca="false">AVB!L10</f>
        <v>7256.152</v>
      </c>
      <c r="M50" s="9" t="n">
        <f aca="false">AVB!M10</f>
        <v>725.67</v>
      </c>
      <c r="N50" s="9" t="n">
        <f aca="false">AVB!N10</f>
        <v>0</v>
      </c>
      <c r="O50" s="9" t="n">
        <f aca="false">AVB!O10</f>
        <v>7981.822</v>
      </c>
      <c r="P50" s="9" t="n">
        <f aca="false">AVB!P10</f>
        <v>34571.82787232</v>
      </c>
      <c r="Q50" s="9" t="n">
        <f aca="false">AVB!Q10</f>
        <v>33103.85087232</v>
      </c>
      <c r="R50" s="9" t="n">
        <f aca="false">AVB!R10</f>
        <v>1505.598</v>
      </c>
      <c r="S50" s="5" t="str">
        <f aca="false">AVB!S10</f>
        <v>n/a</v>
      </c>
      <c r="T50" s="5" t="str">
        <f aca="false">AVB!T10</f>
        <v>n/a</v>
      </c>
      <c r="U50" s="9" t="n">
        <f aca="false">AVB!U10</f>
        <v>124.679</v>
      </c>
      <c r="V50" s="9" t="n">
        <f aca="false">AVB!V10</f>
        <v>1380.919</v>
      </c>
      <c r="W50" s="9" t="n">
        <f aca="false">AVB!W10</f>
        <v>1560.029</v>
      </c>
      <c r="X50" s="9" t="n">
        <f aca="false">AVB!X10</f>
        <v>922.657</v>
      </c>
      <c r="Y50" s="13" t="n">
        <f aca="false">AVB!Y10</f>
        <v>0.0388</v>
      </c>
      <c r="Z50" s="13" t="n">
        <f aca="false">AVB!Z10</f>
        <v>0.05699481934223</v>
      </c>
      <c r="AA50" s="13" t="n">
        <f aca="false">AVB!AA10</f>
        <v>0.0669036728101166</v>
      </c>
      <c r="AB50" s="14" t="n">
        <f aca="false">AVB!AB10</f>
        <v>17.5454543332337</v>
      </c>
      <c r="AC50" s="14" t="n">
        <f aca="false">AVB!AC10</f>
        <v>14.9468625263393</v>
      </c>
      <c r="AD50" s="13" t="n">
        <f aca="false">AVB!AD10</f>
        <v>0</v>
      </c>
      <c r="AE50" s="13" t="n">
        <f aca="false">AVB!AE10</f>
        <v>0.958</v>
      </c>
    </row>
    <row r="51" customFormat="false" ht="15" hidden="false" customHeight="true" outlineLevel="0" collapsed="false">
      <c r="A51" s="5" t="n">
        <f aca="false">AVB!A11</f>
        <v>2022</v>
      </c>
      <c r="B51" s="9" t="n">
        <f aca="false">AVB!B11</f>
        <v>1765.786</v>
      </c>
      <c r="C51" s="9" t="n">
        <f aca="false">AVB!C11</f>
        <v>230.074</v>
      </c>
      <c r="D51" s="9" t="n">
        <f aca="false">AVB!D11</f>
        <v>1535.712</v>
      </c>
      <c r="E51" s="21" t="n">
        <f aca="false">AVB!E11</f>
        <v>161.52</v>
      </c>
      <c r="F51" s="11" t="n">
        <f aca="false">AVB!F11</f>
        <v>139.924364</v>
      </c>
      <c r="G51" s="9" t="n">
        <f aca="false">AVB!G11</f>
        <v>22600.58327328</v>
      </c>
      <c r="H51" s="9" t="n">
        <f aca="false">AVB!H11</f>
        <v>179.204</v>
      </c>
      <c r="I51" s="9" t="n">
        <f aca="false">AVB!I11</f>
        <v>1072.543</v>
      </c>
      <c r="J51" s="9" t="n">
        <f aca="false">AVB!J11</f>
        <v>1251.747</v>
      </c>
      <c r="K51" s="9" t="n">
        <f aca="false">AVB!K11</f>
        <v>21348.83627328</v>
      </c>
      <c r="L51" s="9" t="n">
        <f aca="false">AVB!L11</f>
        <v>7602.305</v>
      </c>
      <c r="M51" s="9" t="n">
        <f aca="false">AVB!M11</f>
        <v>713.74</v>
      </c>
      <c r="N51" s="9" t="n">
        <f aca="false">AVB!N11</f>
        <v>0</v>
      </c>
      <c r="O51" s="9" t="n">
        <f aca="false">AVB!O11</f>
        <v>8316.045</v>
      </c>
      <c r="P51" s="9" t="n">
        <f aca="false">AVB!P11</f>
        <v>30916.62827328</v>
      </c>
      <c r="Q51" s="9" t="n">
        <f aca="false">AVB!Q11</f>
        <v>29664.88127328</v>
      </c>
      <c r="R51" s="9" t="n">
        <f aca="false">AVB!R11</f>
        <v>1369.999</v>
      </c>
      <c r="S51" s="5" t="str">
        <f aca="false">AVB!S11</f>
        <v>n/a</v>
      </c>
      <c r="T51" s="5" t="str">
        <f aca="false">AVB!T11</f>
        <v>n/a</v>
      </c>
      <c r="U51" s="9" t="n">
        <f aca="false">AVB!U11</f>
        <v>112.174</v>
      </c>
      <c r="V51" s="9" t="n">
        <f aca="false">AVB!V11</f>
        <v>1257.825</v>
      </c>
      <c r="W51" s="9" t="n">
        <f aca="false">AVB!W11</f>
        <v>1421.932</v>
      </c>
      <c r="X51" s="9" t="n">
        <f aca="false">AVB!X11</f>
        <v>889.607</v>
      </c>
      <c r="Y51" s="13" t="n">
        <f aca="false">AVB!Y11</f>
        <v>0.0388</v>
      </c>
      <c r="Z51" s="13" t="n">
        <f aca="false">AVB!Z11</f>
        <v>0.0595244586935358</v>
      </c>
      <c r="AA51" s="13" t="n">
        <f aca="false">AVB!AA11</f>
        <v>0.0719342253761196</v>
      </c>
      <c r="AB51" s="14" t="n">
        <f aca="false">AVB!AB11</f>
        <v>16.7998167803347</v>
      </c>
      <c r="AC51" s="14" t="n">
        <f aca="false">AVB!AC11</f>
        <v>13.9015884965931</v>
      </c>
      <c r="AD51" s="5" t="n">
        <f aca="false">AVB!AD11</f>
        <v>0</v>
      </c>
      <c r="AE51" s="13" t="n">
        <f aca="false">AVB!AE11</f>
        <v>0.961</v>
      </c>
    </row>
    <row r="52" customFormat="false" ht="15" hidden="false" customHeight="true" outlineLevel="0" collapsed="false">
      <c r="A52" s="5" t="n">
        <f aca="false">AVB!A12</f>
        <v>2021</v>
      </c>
      <c r="B52" s="9" t="n">
        <f aca="false">AVB!B12</f>
        <v>1514.678</v>
      </c>
      <c r="C52" s="9" t="n">
        <f aca="false">AVB!C12</f>
        <v>220.415</v>
      </c>
      <c r="D52" s="9" t="n">
        <f aca="false">AVB!D12</f>
        <v>1294.263</v>
      </c>
      <c r="E52" s="21" t="n">
        <f aca="false">AVB!E12</f>
        <v>252.59</v>
      </c>
      <c r="F52" s="11" t="n">
        <f aca="false">AVB!F12</f>
        <v>139.759426</v>
      </c>
      <c r="G52" s="9" t="n">
        <f aca="false">AVB!G12</f>
        <v>35301.83341334</v>
      </c>
      <c r="H52" s="9" t="n">
        <f aca="false">AVB!H12</f>
        <v>147.546</v>
      </c>
      <c r="I52" s="9" t="n">
        <f aca="false">AVB!I12</f>
        <v>807.101</v>
      </c>
      <c r="J52" s="9" t="n">
        <f aca="false">AVB!J12</f>
        <v>954.647</v>
      </c>
      <c r="K52" s="9" t="n">
        <f aca="false">AVB!K12</f>
        <v>34347.18641334</v>
      </c>
      <c r="L52" s="9" t="n">
        <f aca="false">AVB!L12</f>
        <v>7349.394</v>
      </c>
      <c r="M52" s="9" t="n">
        <f aca="false">AVB!M12</f>
        <v>754.153</v>
      </c>
      <c r="N52" s="9" t="n">
        <f aca="false">AVB!N12</f>
        <v>0</v>
      </c>
      <c r="O52" s="9" t="n">
        <f aca="false">AVB!O12</f>
        <v>8103.547</v>
      </c>
      <c r="P52" s="9" t="n">
        <f aca="false">AVB!P12</f>
        <v>43405.38041334</v>
      </c>
      <c r="Q52" s="9" t="n">
        <f aca="false">AVB!Q12</f>
        <v>42450.73341334</v>
      </c>
      <c r="R52" s="9" t="n">
        <f aca="false">AVB!R12</f>
        <v>1153.472</v>
      </c>
      <c r="S52" s="5" t="str">
        <f aca="false">AVB!S12</f>
        <v>n/a</v>
      </c>
      <c r="T52" s="5" t="str">
        <f aca="false">AVB!T12</f>
        <v>n/a</v>
      </c>
      <c r="U52" s="9" t="n">
        <f aca="false">AVB!U12</f>
        <v>100.642</v>
      </c>
      <c r="V52" s="9" t="n">
        <f aca="false">AVB!V12</f>
        <v>1052.83</v>
      </c>
      <c r="W52" s="9" t="n">
        <f aca="false">AVB!W12</f>
        <v>1203.17</v>
      </c>
      <c r="X52" s="9" t="n">
        <f aca="false">AVB!X12</f>
        <v>888.344</v>
      </c>
      <c r="Y52" s="13" t="n">
        <f aca="false">AVB!Y12</f>
        <v>0.0152</v>
      </c>
      <c r="Z52" s="13" t="n">
        <f aca="false">AVB!Z12</f>
        <v>0.0356808440799286</v>
      </c>
      <c r="AA52" s="13" t="n">
        <f aca="false">AVB!AA12</f>
        <v>0.0376817764466823</v>
      </c>
      <c r="AB52" s="14" t="n">
        <f aca="false">AVB!AB12</f>
        <v>28.0262428142087</v>
      </c>
      <c r="AC52" s="14" t="n">
        <f aca="false">AVB!AC12</f>
        <v>26.538026980096</v>
      </c>
      <c r="AD52" s="13" t="n">
        <f aca="false">AVB!AD12</f>
        <v>0</v>
      </c>
      <c r="AE52" s="13" t="n">
        <f aca="false">AVB!AE12</f>
        <v>0.96</v>
      </c>
    </row>
    <row r="53" customFormat="false" ht="15" hidden="false" customHeight="true" outlineLevel="0" collapsed="false">
      <c r="A53" s="5" t="n">
        <f aca="false">AVB!A13</f>
        <v>2020</v>
      </c>
      <c r="B53" s="9" t="n">
        <f aca="false">AVB!B13</f>
        <v>1547.19</v>
      </c>
      <c r="C53" s="9" t="n">
        <f aca="false">AVB!C13</f>
        <v>214.151</v>
      </c>
      <c r="D53" s="9" t="n">
        <f aca="false">AVB!D13</f>
        <v>1333.039</v>
      </c>
      <c r="E53" s="21" t="n">
        <f aca="false">AVB!E13</f>
        <v>160.43</v>
      </c>
      <c r="F53" s="11" t="n">
        <f aca="false">AVB!F13</f>
        <v>139.534171</v>
      </c>
      <c r="G53" s="9" t="n">
        <f aca="false">AVB!G13</f>
        <v>22385.46705353</v>
      </c>
      <c r="H53" s="9" t="n">
        <f aca="false">AVB!H13</f>
        <v>110.142</v>
      </c>
      <c r="I53" s="9" t="n">
        <f aca="false">AVB!I13</f>
        <v>989.765</v>
      </c>
      <c r="J53" s="9" t="n">
        <f aca="false">AVB!J13</f>
        <v>1099.907</v>
      </c>
      <c r="K53" s="9" t="n">
        <f aca="false">AVB!K13</f>
        <v>21285.56005353</v>
      </c>
      <c r="L53" s="9" t="n">
        <f aca="false">AVB!L13</f>
        <v>6702.005</v>
      </c>
      <c r="M53" s="9" t="n">
        <f aca="false">AVB!M13</f>
        <v>862.332</v>
      </c>
      <c r="N53" s="9" t="n">
        <f aca="false">AVB!N13</f>
        <v>0</v>
      </c>
      <c r="O53" s="9" t="n">
        <f aca="false">AVB!O13</f>
        <v>7564.337</v>
      </c>
      <c r="P53" s="9" t="n">
        <f aca="false">AVB!P13</f>
        <v>29949.80405353</v>
      </c>
      <c r="Q53" s="9" t="n">
        <f aca="false">AVB!Q13</f>
        <v>28849.89705353</v>
      </c>
      <c r="R53" s="9" t="n">
        <f aca="false">AVB!R13</f>
        <v>1220.597</v>
      </c>
      <c r="S53" s="5" t="str">
        <f aca="false">AVB!S13</f>
        <v>n/a</v>
      </c>
      <c r="T53" s="5" t="str">
        <f aca="false">AVB!T13</f>
        <v>n/a</v>
      </c>
      <c r="U53" s="9" t="n">
        <f aca="false">AVB!U13</f>
        <v>77.164</v>
      </c>
      <c r="V53" s="9" t="n">
        <f aca="false">AVB!V13</f>
        <v>1143.433</v>
      </c>
      <c r="W53" s="9" t="n">
        <f aca="false">AVB!W13</f>
        <v>1219.615</v>
      </c>
      <c r="X53" s="9" t="n">
        <f aca="false">AVB!X13</f>
        <v>883.212</v>
      </c>
      <c r="Y53" s="13" t="n">
        <f aca="false">AVB!Y13</f>
        <v>0.0093</v>
      </c>
      <c r="Z53" s="13" t="n">
        <f aca="false">AVB!Z13</f>
        <v>0.0536289608635082</v>
      </c>
      <c r="AA53" s="13" t="n">
        <f aca="false">AVB!AA13</f>
        <v>0.0626264470677589</v>
      </c>
      <c r="AB53" s="14" t="n">
        <f aca="false">AVB!AB13</f>
        <v>18.6466413650101</v>
      </c>
      <c r="AC53" s="14" t="n">
        <f aca="false">AVB!AC13</f>
        <v>15.9676949087986</v>
      </c>
      <c r="AD53" s="13" t="n">
        <f aca="false">AVB!AD13</f>
        <v>0</v>
      </c>
      <c r="AE53" s="13" t="n">
        <f aca="false">AVB!AE13</f>
        <v>0.946</v>
      </c>
    </row>
    <row r="54" customFormat="false" ht="15" hidden="false" customHeight="true" outlineLevel="0" collapsed="false">
      <c r="A54" s="5" t="n">
        <f aca="false">AVB!A14</f>
        <v>2019</v>
      </c>
      <c r="B54" s="9" t="n">
        <f aca="false">AVB!B14</f>
        <v>1627.21</v>
      </c>
      <c r="C54" s="9" t="n">
        <f aca="false">AVB!C14</f>
        <v>203.585</v>
      </c>
      <c r="D54" s="9" t="n">
        <f aca="false">AVB!D14</f>
        <v>1423.625</v>
      </c>
      <c r="E54" s="21" t="n">
        <f aca="false">AVB!E14</f>
        <v>209.7</v>
      </c>
      <c r="F54" s="11" t="n">
        <f aca="false">AVB!F14</f>
        <v>140.651462</v>
      </c>
      <c r="G54" s="9" t="n">
        <f aca="false">AVB!G14</f>
        <v>29494.6115814</v>
      </c>
      <c r="H54" s="9" t="n">
        <f aca="false">AVB!H14</f>
        <v>0</v>
      </c>
      <c r="I54" s="9" t="n">
        <f aca="false">AVB!I14</f>
        <v>1303.751</v>
      </c>
      <c r="J54" s="9" t="n">
        <f aca="false">AVB!J14</f>
        <v>1303.751</v>
      </c>
      <c r="K54" s="9" t="n">
        <f aca="false">AVB!K14</f>
        <v>28190.8605814</v>
      </c>
      <c r="L54" s="9" t="n">
        <f aca="false">AVB!L14</f>
        <v>6358.648</v>
      </c>
      <c r="M54" s="9" t="n">
        <f aca="false">AVB!M14</f>
        <v>937.642</v>
      </c>
      <c r="N54" s="9" t="n">
        <f aca="false">AVB!N14</f>
        <v>0</v>
      </c>
      <c r="O54" s="9" t="n">
        <f aca="false">AVB!O14</f>
        <v>7296.29</v>
      </c>
      <c r="P54" s="9" t="n">
        <f aca="false">AVB!P14</f>
        <v>36790.9015814</v>
      </c>
      <c r="Q54" s="9" t="n">
        <f aca="false">AVB!Q14</f>
        <v>35487.1505814</v>
      </c>
      <c r="R54" s="9" t="n">
        <f aca="false">AVB!R14</f>
        <v>1303.207</v>
      </c>
      <c r="S54" s="5" t="str">
        <f aca="false">AVB!S14</f>
        <v>n/a</v>
      </c>
      <c r="T54" s="5" t="str">
        <f aca="false">AVB!T14</f>
        <v>n/a</v>
      </c>
      <c r="U54" s="9" t="n">
        <f aca="false">AVB!U14</f>
        <v>89.285</v>
      </c>
      <c r="V54" s="9" t="n">
        <f aca="false">AVB!V14</f>
        <v>1213.922</v>
      </c>
      <c r="W54" s="9" t="n">
        <f aca="false">AVB!W14</f>
        <v>1321.804</v>
      </c>
      <c r="X54" s="9" t="n">
        <f aca="false">AVB!X14</f>
        <v>839.646</v>
      </c>
      <c r="Y54" s="13" t="n">
        <f aca="false">AVB!Y14</f>
        <v>0.0192</v>
      </c>
      <c r="Z54" s="13" t="n">
        <f aca="false">AVB!Z14</f>
        <v>0.0458534983322351</v>
      </c>
      <c r="AA54" s="13" t="n">
        <f aca="false">AVB!AA14</f>
        <v>0.0504995225629717</v>
      </c>
      <c r="AB54" s="14" t="n">
        <f aca="false">AVB!AB14</f>
        <v>21.8085868335372</v>
      </c>
      <c r="AC54" s="14" t="n">
        <f aca="false">AVB!AC14</f>
        <v>19.8021674116428</v>
      </c>
      <c r="AD54" s="5" t="n">
        <f aca="false">AVB!AD14</f>
        <v>0</v>
      </c>
      <c r="AE54" s="13" t="n">
        <f aca="false">AVB!AE14</f>
        <v>0.96</v>
      </c>
    </row>
    <row r="55" customFormat="false" ht="15" hidden="false" customHeight="true" outlineLevel="0" collapsed="false">
      <c r="A55" s="5" t="n">
        <f aca="false">AVB!A15</f>
        <v>2018</v>
      </c>
      <c r="B55" s="9" t="n">
        <f aca="false">AVB!B15</f>
        <v>1539.586</v>
      </c>
      <c r="C55" s="9" t="n">
        <f aca="false">AVB!C15</f>
        <v>220.974</v>
      </c>
      <c r="D55" s="9" t="n">
        <f aca="false">AVB!D15</f>
        <v>1318.612</v>
      </c>
      <c r="E55" s="21" t="n">
        <f aca="false">AVB!E15</f>
        <v>174.05</v>
      </c>
      <c r="F55" s="11" t="n">
        <f aca="false">AVB!F15</f>
        <v>138.515924</v>
      </c>
      <c r="G55" s="9" t="n">
        <f aca="false">AVB!G15</f>
        <v>24108.6965722</v>
      </c>
      <c r="H55" s="9" t="n">
        <f aca="false">AVB!H15</f>
        <v>84.712</v>
      </c>
      <c r="I55" s="9" t="n">
        <f aca="false">AVB!I15</f>
        <v>1768.132</v>
      </c>
      <c r="J55" s="9" t="n">
        <f aca="false">AVB!J15</f>
        <v>1852.844</v>
      </c>
      <c r="K55" s="9" t="n">
        <f aca="false">AVB!K15</f>
        <v>22255.8525722</v>
      </c>
      <c r="L55" s="9" t="n">
        <f aca="false">AVB!L15</f>
        <v>5905.993</v>
      </c>
      <c r="M55" s="9" t="n">
        <f aca="false">AVB!M15</f>
        <v>1134.27</v>
      </c>
      <c r="N55" s="9" t="n">
        <f aca="false">AVB!N15</f>
        <v>0</v>
      </c>
      <c r="O55" s="9" t="n">
        <f aca="false">AVB!O15</f>
        <v>7040.263</v>
      </c>
      <c r="P55" s="9" t="n">
        <f aca="false">AVB!P15</f>
        <v>31148.9595722</v>
      </c>
      <c r="Q55" s="9" t="n">
        <f aca="false">AVB!Q15</f>
        <v>29296.1155722</v>
      </c>
      <c r="R55" s="9" t="n">
        <f aca="false">AVB!R15</f>
        <v>1244.286</v>
      </c>
      <c r="S55" s="5" t="str">
        <f aca="false">AVB!S15</f>
        <v>n/a</v>
      </c>
      <c r="T55" s="5" t="str">
        <f aca="false">AVB!T15</f>
        <v>n/a</v>
      </c>
      <c r="U55" s="9" t="n">
        <f aca="false">AVB!U15</f>
        <v>69.028</v>
      </c>
      <c r="V55" s="9" t="n">
        <f aca="false">AVB!V15</f>
        <v>1175.258</v>
      </c>
      <c r="W55" s="9" t="n">
        <f aca="false">AVB!W15</f>
        <v>1301.111</v>
      </c>
      <c r="X55" s="9" t="n">
        <f aca="false">AVB!X15</f>
        <v>805.239</v>
      </c>
      <c r="Y55" s="13" t="n">
        <f aca="false">AVB!Y15</f>
        <v>0.0269</v>
      </c>
      <c r="Z55" s="13" t="n">
        <f aca="false">AVB!Z15</f>
        <v>0.0525525643905147</v>
      </c>
      <c r="AA55" s="13" t="n">
        <f aca="false">AVB!AA15</f>
        <v>0.0592478762933167</v>
      </c>
      <c r="AB55" s="14" t="n">
        <f aca="false">AVB!AB15</f>
        <v>19.0285671422058</v>
      </c>
      <c r="AC55" s="14" t="n">
        <f aca="false">AVB!AC15</f>
        <v>16.8782421001781</v>
      </c>
      <c r="AD55" s="13" t="n">
        <f aca="false">AVB!AD15</f>
        <v>0</v>
      </c>
      <c r="AE55" s="13" t="n">
        <f aca="false">AVB!AE15</f>
        <v>0.961</v>
      </c>
    </row>
    <row r="56" customFormat="false" ht="15" hidden="false" customHeight="true" outlineLevel="0" collapsed="false">
      <c r="A56" s="5" t="n">
        <f aca="false">AVB!A16</f>
        <v>2017</v>
      </c>
      <c r="B56" s="9" t="n">
        <f aca="false">AVB!B16</f>
        <v>1490.068</v>
      </c>
      <c r="C56" s="9" t="n">
        <f aca="false">AVB!C16</f>
        <v>199.661</v>
      </c>
      <c r="D56" s="9" t="n">
        <f aca="false">AVB!D16</f>
        <v>1290.407</v>
      </c>
      <c r="E56" s="21" t="n">
        <f aca="false">AVB!E16</f>
        <v>178.41</v>
      </c>
      <c r="F56" s="11" t="n">
        <f aca="false">AVB!F16</f>
        <v>138.101654</v>
      </c>
      <c r="G56" s="9" t="n">
        <f aca="false">AVB!G16</f>
        <v>24638.71609014</v>
      </c>
      <c r="H56" s="9" t="n">
        <f aca="false">AVB!H16</f>
        <v>68.364</v>
      </c>
      <c r="I56" s="9" t="n">
        <f aca="false">AVB!I16</f>
        <v>1306.3</v>
      </c>
      <c r="J56" s="9" t="n">
        <f aca="false">AVB!J16</f>
        <v>1374.664</v>
      </c>
      <c r="K56" s="9" t="n">
        <f aca="false">AVB!K16</f>
        <v>23264.05209014</v>
      </c>
      <c r="L56" s="9" t="n">
        <f aca="false">AVB!L16</f>
        <v>5852.764</v>
      </c>
      <c r="M56" s="9" t="n">
        <f aca="false">AVB!M16</f>
        <v>1476.706</v>
      </c>
      <c r="N56" s="9" t="n">
        <f aca="false">AVB!N16</f>
        <v>0</v>
      </c>
      <c r="O56" s="9" t="n">
        <f aca="false">AVB!O16</f>
        <v>7329.47</v>
      </c>
      <c r="P56" s="9" t="n">
        <f aca="false">AVB!P16</f>
        <v>31968.18609014</v>
      </c>
      <c r="Q56" s="9" t="n">
        <f aca="false">AVB!Q16</f>
        <v>30593.52209014</v>
      </c>
      <c r="R56" s="9" t="n">
        <f aca="false">AVB!R16</f>
        <v>1189.976</v>
      </c>
      <c r="S56" s="5" t="str">
        <f aca="false">AVB!S16</f>
        <v>n/a</v>
      </c>
      <c r="T56" s="5" t="str">
        <f aca="false">AVB!T16</f>
        <v>n/a</v>
      </c>
      <c r="U56" s="9" t="n">
        <f aca="false">AVB!U16</f>
        <v>59.522</v>
      </c>
      <c r="V56" s="9" t="n">
        <f aca="false">AVB!V16</f>
        <v>1130.454</v>
      </c>
      <c r="W56" s="9" t="n">
        <f aca="false">AVB!W16</f>
        <v>1256.257</v>
      </c>
      <c r="X56" s="9" t="n">
        <f aca="false">AVB!X16</f>
        <v>772.657</v>
      </c>
      <c r="Y56" s="13" t="n">
        <f aca="false">AVB!Y16</f>
        <v>0.024</v>
      </c>
      <c r="Z56" s="13" t="n">
        <f aca="false">AVB!Z16</f>
        <v>0.0487053434256344</v>
      </c>
      <c r="AA56" s="13" t="n">
        <f aca="false">AVB!AA16</f>
        <v>0.0554678520749579</v>
      </c>
      <c r="AB56" s="14" t="n">
        <f aca="false">AVB!AB16</f>
        <v>20.5316281472658</v>
      </c>
      <c r="AC56" s="14" t="n">
        <f aca="false">AVB!AC16</f>
        <v>18.0284608578069</v>
      </c>
      <c r="AD56" s="13" t="n">
        <f aca="false">AVB!AD16</f>
        <v>0</v>
      </c>
      <c r="AE56" s="13" t="n">
        <f aca="false">AVB!AE16</f>
        <v>0.955</v>
      </c>
    </row>
    <row r="57" customFormat="false" ht="15" hidden="false" customHeight="true" outlineLevel="0" collapsed="false">
      <c r="A57" s="5" t="n">
        <f aca="false">AVB!A17</f>
        <v>2016</v>
      </c>
      <c r="B57" s="9" t="n">
        <f aca="false">AVB!B17</f>
        <v>1410.697</v>
      </c>
      <c r="C57" s="9" t="n">
        <f aca="false">AVB!C17</f>
        <v>187.51</v>
      </c>
      <c r="D57" s="9" t="n">
        <f aca="false">AVB!D17</f>
        <v>1223.187</v>
      </c>
      <c r="E57" s="21" t="n">
        <f aca="false">AVB!E17</f>
        <v>177.15</v>
      </c>
      <c r="F57" s="11" t="n">
        <f aca="false">AVB!F17</f>
        <v>137.338404</v>
      </c>
      <c r="G57" s="9" t="n">
        <f aca="false">AVB!G17</f>
        <v>24329.4982686</v>
      </c>
      <c r="H57" s="9" t="n">
        <f aca="false">AVB!H17</f>
        <v>84.293</v>
      </c>
      <c r="I57" s="9" t="n">
        <f aca="false">AVB!I17</f>
        <v>1882.262</v>
      </c>
      <c r="J57" s="9" t="n">
        <f aca="false">AVB!J17</f>
        <v>1966.555</v>
      </c>
      <c r="K57" s="9" t="n">
        <f aca="false">AVB!K17</f>
        <v>22362.9432686</v>
      </c>
      <c r="L57" s="9" t="n">
        <f aca="false">AVB!L17</f>
        <v>4463.302</v>
      </c>
      <c r="M57" s="9" t="n">
        <f aca="false">AVB!M17</f>
        <v>2567.578</v>
      </c>
      <c r="N57" s="9" t="n">
        <f aca="false">AVB!N17</f>
        <v>0</v>
      </c>
      <c r="O57" s="9" t="n">
        <f aca="false">AVB!O17</f>
        <v>7030.88</v>
      </c>
      <c r="P57" s="9" t="n">
        <f aca="false">AVB!P17</f>
        <v>31360.3782686</v>
      </c>
      <c r="Q57" s="9" t="n">
        <f aca="false">AVB!Q17</f>
        <v>29393.8232686</v>
      </c>
      <c r="R57" s="9" t="n">
        <f aca="false">AVB!R17</f>
        <v>1125.341</v>
      </c>
      <c r="S57" s="5" t="str">
        <f aca="false">AVB!S17</f>
        <v>n/a</v>
      </c>
      <c r="T57" s="5" t="str">
        <f aca="false">AVB!T17</f>
        <v>n/a</v>
      </c>
      <c r="U57" s="9" t="n">
        <f aca="false">AVB!U17</f>
        <v>64.509</v>
      </c>
      <c r="V57" s="9" t="n">
        <f aca="false">AVB!V17</f>
        <v>1060.832</v>
      </c>
      <c r="W57" s="9" t="n">
        <f aca="false">AVB!W17</f>
        <v>1143.484</v>
      </c>
      <c r="X57" s="9" t="n">
        <f aca="false">AVB!X17</f>
        <v>726.749</v>
      </c>
      <c r="Y57" s="13" t="n">
        <f aca="false">AVB!Y17</f>
        <v>0.0245</v>
      </c>
      <c r="Z57" s="13" t="n">
        <f aca="false">AVB!Z17</f>
        <v>0.0479929741398078</v>
      </c>
      <c r="AA57" s="13" t="n">
        <f aca="false">AVB!AA17</f>
        <v>0.0546970488324534</v>
      </c>
      <c r="AB57" s="14" t="n">
        <f aca="false">AVB!AB17</f>
        <v>20.8363831982346</v>
      </c>
      <c r="AC57" s="14" t="n">
        <f aca="false">AVB!AC17</f>
        <v>18.2825220253322</v>
      </c>
      <c r="AD57" s="5" t="n">
        <f aca="false">AVB!AD17</f>
        <v>0</v>
      </c>
      <c r="AE57" s="13" t="n">
        <f aca="false">AVB!AE17</f>
        <v>0.955</v>
      </c>
    </row>
    <row r="59" customFormat="false" ht="15" hidden="false" customHeight="true" outlineLevel="0" collapsed="false">
      <c r="A59" s="2" t="s">
        <v>737</v>
      </c>
    </row>
    <row r="60" customFormat="false" ht="15" hidden="false" customHeight="true" outlineLevel="0" collapsed="false">
      <c r="A60" s="5" t="n">
        <f aca="false">MAA!A8</f>
        <v>2025</v>
      </c>
      <c r="B60" s="9" t="n">
        <f aca="false">MAA!B8</f>
        <v>1371.319</v>
      </c>
      <c r="C60" s="9" t="n">
        <f aca="false">MAA!C8</f>
        <v>185.257</v>
      </c>
      <c r="D60" s="9" t="n">
        <f aca="false">MAA!D8</f>
        <v>1186.062</v>
      </c>
      <c r="E60" s="21" t="n">
        <f aca="false">MAA!E8</f>
        <v>138.91</v>
      </c>
      <c r="F60" s="11" t="n">
        <f aca="false">MAA!F8</f>
        <v>119.819916</v>
      </c>
      <c r="G60" s="9" t="n">
        <f aca="false">MAA!G8</f>
        <v>16644.18453156</v>
      </c>
      <c r="H60" s="9" t="n">
        <f aca="false">MAA!H8</f>
        <v>73.359</v>
      </c>
      <c r="I60" s="9" t="n">
        <f aca="false">MAA!I8</f>
        <v>426.759</v>
      </c>
      <c r="J60" s="9" t="n">
        <f aca="false">MAA!J8</f>
        <v>500.118</v>
      </c>
      <c r="K60" s="9" t="n">
        <f aca="false">MAA!K8</f>
        <v>16144.06653156</v>
      </c>
      <c r="L60" s="9" t="n">
        <f aca="false">MAA!L8</f>
        <v>5044.979</v>
      </c>
      <c r="M60" s="9" t="n">
        <f aca="false">MAA!M8</f>
        <v>360.393</v>
      </c>
      <c r="N60" s="22" t="n">
        <f aca="false">MAA!N8</f>
        <v>43.3923</v>
      </c>
      <c r="O60" s="9" t="n">
        <f aca="false">MAA!O8</f>
        <v>5448.7643</v>
      </c>
      <c r="P60" s="9" t="n">
        <f aca="false">MAA!P8</f>
        <v>22092.94883156</v>
      </c>
      <c r="Q60" s="9" t="n">
        <f aca="false">MAA!Q8</f>
        <v>21592.83083156</v>
      </c>
      <c r="R60" s="9" t="n">
        <f aca="false">MAA!R8</f>
        <v>1048.383</v>
      </c>
      <c r="S60" s="5" t="str">
        <f aca="false">MAA!S8</f>
        <v>n/a</v>
      </c>
      <c r="T60" s="5" t="str">
        <f aca="false">MAA!T8</f>
        <v>n/a</v>
      </c>
      <c r="U60" s="9" t="n">
        <f aca="false">MAA!U8</f>
        <v>135.375</v>
      </c>
      <c r="V60" s="9" t="n">
        <f aca="false">MAA!V8</f>
        <v>913.008</v>
      </c>
      <c r="W60" s="9" t="n">
        <f aca="false">MAA!W8</f>
        <v>1078.175</v>
      </c>
      <c r="X60" s="9" t="n">
        <f aca="false">MAA!X8</f>
        <v>727.246</v>
      </c>
      <c r="Y60" s="13" t="n">
        <f aca="false">MAA!Y8</f>
        <v>0.0418</v>
      </c>
      <c r="Z60" s="13" t="n">
        <f aca="false">MAA!Z8</f>
        <v>0.0635080694466279</v>
      </c>
      <c r="AA60" s="13" t="n">
        <f aca="false">MAA!AA8</f>
        <v>0.0734673632372222</v>
      </c>
      <c r="AB60" s="14" t="n">
        <f aca="false">MAA!AB8</f>
        <v>15.7460305235762</v>
      </c>
      <c r="AC60" s="14" t="n">
        <f aca="false">MAA!AC8</f>
        <v>13.611486188378</v>
      </c>
      <c r="AD60" s="13" t="n">
        <f aca="false">MAA!AD8</f>
        <v>0</v>
      </c>
      <c r="AE60" s="13" t="n">
        <f aca="false">MAA!AE8</f>
        <v>0.956</v>
      </c>
    </row>
    <row r="61" customFormat="false" ht="15" hidden="false" customHeight="true" outlineLevel="0" collapsed="false">
      <c r="A61" s="5" t="n">
        <f aca="false">MAA!A9</f>
        <v>2024</v>
      </c>
      <c r="B61" s="9" t="n">
        <f aca="false">MAA!B9</f>
        <v>1370.923</v>
      </c>
      <c r="C61" s="9" t="n">
        <f aca="false">MAA!C9</f>
        <v>168.544</v>
      </c>
      <c r="D61" s="9" t="n">
        <f aca="false">MAA!D9</f>
        <v>1202.379</v>
      </c>
      <c r="E61" s="21" t="n">
        <f aca="false">MAA!E9</f>
        <v>154.57</v>
      </c>
      <c r="F61" s="11" t="n">
        <f aca="false">MAA!F9</f>
        <v>119.958973</v>
      </c>
      <c r="G61" s="9" t="n">
        <f aca="false">MAA!G9</f>
        <v>18542.05845661</v>
      </c>
      <c r="H61" s="9" t="n">
        <f aca="false">MAA!H9</f>
        <v>73.359</v>
      </c>
      <c r="I61" s="9" t="n">
        <f aca="false">MAA!I9</f>
        <v>470.282</v>
      </c>
      <c r="J61" s="9" t="n">
        <f aca="false">MAA!J9</f>
        <v>543.641</v>
      </c>
      <c r="K61" s="9" t="n">
        <f aca="false">MAA!K9</f>
        <v>17998.41745661</v>
      </c>
      <c r="L61" s="9" t="n">
        <f aca="false">MAA!L9</f>
        <v>4620.69</v>
      </c>
      <c r="M61" s="9" t="n">
        <f aca="false">MAA!M9</f>
        <v>360.267</v>
      </c>
      <c r="N61" s="22" t="n">
        <f aca="false">MAA!N9</f>
        <v>43.3923</v>
      </c>
      <c r="O61" s="9" t="n">
        <f aca="false">MAA!O9</f>
        <v>5024.3493</v>
      </c>
      <c r="P61" s="9" t="n">
        <f aca="false">MAA!P9</f>
        <v>23566.40775661</v>
      </c>
      <c r="Q61" s="9" t="n">
        <f aca="false">MAA!Q9</f>
        <v>23022.76675661</v>
      </c>
      <c r="R61" s="9" t="n">
        <f aca="false">MAA!R9</f>
        <v>1064.985</v>
      </c>
      <c r="S61" s="5" t="str">
        <f aca="false">MAA!S9</f>
        <v>n/a</v>
      </c>
      <c r="T61" s="5" t="str">
        <f aca="false">MAA!T9</f>
        <v>n/a</v>
      </c>
      <c r="U61" s="9" t="n">
        <f aca="false">MAA!U9</f>
        <v>112.228</v>
      </c>
      <c r="V61" s="9" t="n">
        <f aca="false">MAA!V9</f>
        <v>952.757</v>
      </c>
      <c r="W61" s="9" t="n">
        <f aca="false">MAA!W9</f>
        <v>1098.292</v>
      </c>
      <c r="X61" s="9" t="n">
        <f aca="false">MAA!X9</f>
        <v>705.16</v>
      </c>
      <c r="Y61" s="13" t="n">
        <f aca="false">MAA!Y9</f>
        <v>0.0458</v>
      </c>
      <c r="Z61" s="13" t="n">
        <f aca="false">MAA!Z9</f>
        <v>0.0595464052819107</v>
      </c>
      <c r="AA61" s="13" t="n">
        <f aca="false">MAA!AA9</f>
        <v>0.0668047067415041</v>
      </c>
      <c r="AB61" s="14" t="n">
        <f aca="false">MAA!AB9</f>
        <v>16.7936249932418</v>
      </c>
      <c r="AC61" s="14" t="n">
        <f aca="false">MAA!AC9</f>
        <v>14.9690051611098</v>
      </c>
      <c r="AD61" s="13" t="n">
        <f aca="false">MAA!AD9</f>
        <v>0</v>
      </c>
      <c r="AE61" s="13" t="n">
        <f aca="false">MAA!AE9</f>
        <v>0.955</v>
      </c>
    </row>
    <row r="62" customFormat="false" ht="15" hidden="false" customHeight="true" outlineLevel="0" collapsed="false">
      <c r="A62" s="5" t="n">
        <f aca="false">MAA!A10</f>
        <v>2023</v>
      </c>
      <c r="B62" s="9" t="n">
        <f aca="false">MAA!B10</f>
        <v>1380.327</v>
      </c>
      <c r="C62" s="9" t="n">
        <f aca="false">MAA!C10</f>
        <v>149.234</v>
      </c>
      <c r="D62" s="9" t="n">
        <f aca="false">MAA!D10</f>
        <v>1231.093</v>
      </c>
      <c r="E62" s="21" t="n">
        <f aca="false">MAA!E10</f>
        <v>134.46</v>
      </c>
      <c r="F62" s="11" t="n">
        <f aca="false">MAA!F10</f>
        <v>119.838096</v>
      </c>
      <c r="G62" s="9" t="n">
        <f aca="false">MAA!G10</f>
        <v>16113.43038816</v>
      </c>
      <c r="H62" s="9" t="n">
        <f aca="false">MAA!H10</f>
        <v>73.861</v>
      </c>
      <c r="I62" s="9" t="n">
        <f aca="false">MAA!I10</f>
        <v>385.405</v>
      </c>
      <c r="J62" s="9" t="n">
        <f aca="false">MAA!J10</f>
        <v>459.266</v>
      </c>
      <c r="K62" s="9" t="n">
        <f aca="false">MAA!K10</f>
        <v>15654.16438816</v>
      </c>
      <c r="L62" s="9" t="n">
        <f aca="false">MAA!L10</f>
        <v>4180.084</v>
      </c>
      <c r="M62" s="9" t="n">
        <f aca="false">MAA!M10</f>
        <v>360.141</v>
      </c>
      <c r="N62" s="22" t="n">
        <f aca="false">MAA!N10</f>
        <v>43.3923</v>
      </c>
      <c r="O62" s="9" t="n">
        <f aca="false">MAA!O10</f>
        <v>4583.6173</v>
      </c>
      <c r="P62" s="9" t="n">
        <f aca="false">MAA!P10</f>
        <v>20697.04768816</v>
      </c>
      <c r="Q62" s="9" t="n">
        <f aca="false">MAA!Q10</f>
        <v>20237.78168816</v>
      </c>
      <c r="R62" s="9" t="n">
        <f aca="false">MAA!R10</f>
        <v>1098.12</v>
      </c>
      <c r="S62" s="5" t="str">
        <f aca="false">MAA!S10</f>
        <v>n/a</v>
      </c>
      <c r="T62" s="5" t="str">
        <f aca="false">MAA!T10</f>
        <v>n/a</v>
      </c>
      <c r="U62" s="9" t="n">
        <f aca="false">MAA!U10</f>
        <v>111.685</v>
      </c>
      <c r="V62" s="9" t="n">
        <f aca="false">MAA!V10</f>
        <v>986.435</v>
      </c>
      <c r="W62" s="9" t="n">
        <f aca="false">MAA!W10</f>
        <v>1137.187</v>
      </c>
      <c r="X62" s="9" t="n">
        <f aca="false">MAA!X10</f>
        <v>669.388</v>
      </c>
      <c r="Y62" s="13" t="n">
        <f aca="false">MAA!Y10</f>
        <v>0.0388</v>
      </c>
      <c r="Z62" s="13" t="n">
        <f aca="false">MAA!Z10</f>
        <v>0.0682054496520018</v>
      </c>
      <c r="AA62" s="13" t="n">
        <f aca="false">MAA!AA10</f>
        <v>0.0786431628973524</v>
      </c>
      <c r="AB62" s="14" t="n">
        <f aca="false">MAA!AB10</f>
        <v>14.6615850361255</v>
      </c>
      <c r="AC62" s="14" t="n">
        <f aca="false">MAA!AC10</f>
        <v>12.7156635511371</v>
      </c>
      <c r="AD62" s="13" t="n">
        <f aca="false">MAA!AD10</f>
        <v>0</v>
      </c>
      <c r="AE62" s="13" t="n">
        <f aca="false">MAA!AE10</f>
        <v>0.956</v>
      </c>
    </row>
    <row r="63" customFormat="false" ht="15" hidden="false" customHeight="true" outlineLevel="0" collapsed="false">
      <c r="A63" s="5" t="n">
        <f aca="false">MAA!A11</f>
        <v>2022</v>
      </c>
      <c r="B63" s="9" t="n">
        <f aca="false">MAA!B11</f>
        <v>1296.172</v>
      </c>
      <c r="C63" s="9" t="n">
        <f aca="false">MAA!C11</f>
        <v>154.747</v>
      </c>
      <c r="D63" s="9" t="n">
        <f aca="false">MAA!D11</f>
        <v>1141.425</v>
      </c>
      <c r="E63" s="21" t="n">
        <f aca="false">MAA!E11</f>
        <v>156.99</v>
      </c>
      <c r="F63" s="11" t="n">
        <f aca="false">MAA!F11</f>
        <v>118.645269</v>
      </c>
      <c r="G63" s="9" t="n">
        <f aca="false">MAA!G11</f>
        <v>18626.12078031</v>
      </c>
      <c r="H63" s="9" t="n">
        <f aca="false">MAA!H11</f>
        <v>64.312</v>
      </c>
      <c r="I63" s="9" t="n">
        <f aca="false">MAA!I11</f>
        <v>332.035</v>
      </c>
      <c r="J63" s="9" t="n">
        <f aca="false">MAA!J11</f>
        <v>396.347</v>
      </c>
      <c r="K63" s="9" t="n">
        <f aca="false">MAA!K11</f>
        <v>18229.77378031</v>
      </c>
      <c r="L63" s="9" t="n">
        <f aca="false">MAA!L11</f>
        <v>4050.91</v>
      </c>
      <c r="M63" s="9" t="n">
        <f aca="false">MAA!M11</f>
        <v>363.993</v>
      </c>
      <c r="N63" s="22" t="n">
        <f aca="false">MAA!N11</f>
        <v>43.3923</v>
      </c>
      <c r="O63" s="9" t="n">
        <f aca="false">MAA!O11</f>
        <v>4458.2953</v>
      </c>
      <c r="P63" s="9" t="n">
        <f aca="false">MAA!P11</f>
        <v>23084.41608031</v>
      </c>
      <c r="Q63" s="9" t="n">
        <f aca="false">MAA!Q11</f>
        <v>22688.06908031</v>
      </c>
      <c r="R63" s="9" t="n">
        <f aca="false">MAA!R11</f>
        <v>1008.206</v>
      </c>
      <c r="S63" s="5" t="str">
        <f aca="false">MAA!S11</f>
        <v>n/a</v>
      </c>
      <c r="T63" s="5" t="str">
        <f aca="false">MAA!T11</f>
        <v>n/a</v>
      </c>
      <c r="U63" s="9" t="n">
        <f aca="false">MAA!U11</f>
        <v>98.168</v>
      </c>
      <c r="V63" s="9" t="n">
        <f aca="false">MAA!V11</f>
        <v>910.038</v>
      </c>
      <c r="W63" s="9" t="n">
        <f aca="false">MAA!W11</f>
        <v>1058.479</v>
      </c>
      <c r="X63" s="9" t="n">
        <f aca="false">MAA!X11</f>
        <v>554.532</v>
      </c>
      <c r="Y63" s="13" t="n">
        <f aca="false">MAA!Y11</f>
        <v>0.0388</v>
      </c>
      <c r="Z63" s="13" t="n">
        <f aca="false">MAA!Z11</f>
        <v>0.0571301151901416</v>
      </c>
      <c r="AA63" s="13" t="n">
        <f aca="false">MAA!AA11</f>
        <v>0.062613228982186</v>
      </c>
      <c r="AB63" s="14" t="n">
        <f aca="false">MAA!AB11</f>
        <v>17.5039030933472</v>
      </c>
      <c r="AC63" s="14" t="n">
        <f aca="false">MAA!AC11</f>
        <v>15.9710657996014</v>
      </c>
      <c r="AD63" s="13" t="n">
        <f aca="false">MAA!AD11</f>
        <v>0</v>
      </c>
      <c r="AE63" s="13" t="n">
        <f aca="false">MAA!AE11</f>
        <v>0.957</v>
      </c>
    </row>
    <row r="64" customFormat="false" ht="15" hidden="false" customHeight="true" outlineLevel="0" collapsed="false">
      <c r="A64" s="5" t="n">
        <f aca="false">MAA!A12</f>
        <v>2021</v>
      </c>
      <c r="B64" s="9" t="n">
        <f aca="false">MAA!B12</f>
        <v>1106.917</v>
      </c>
      <c r="C64" s="9" t="n">
        <f aca="false">MAA!C12</f>
        <v>156.881</v>
      </c>
      <c r="D64" s="9" t="n">
        <f aca="false">MAA!D12</f>
        <v>950.036</v>
      </c>
      <c r="E64" s="21" t="n">
        <f aca="false">MAA!E12</f>
        <v>229.44</v>
      </c>
      <c r="F64" s="11" t="n">
        <f aca="false">MAA!F12</f>
        <v>118.542994</v>
      </c>
      <c r="G64" s="9" t="n">
        <f aca="false">MAA!G12</f>
        <v>27198.50454336</v>
      </c>
      <c r="H64" s="9" t="n">
        <f aca="false">MAA!H12</f>
        <v>24.015</v>
      </c>
      <c r="I64" s="9" t="n">
        <f aca="false">MAA!I12</f>
        <v>247.97</v>
      </c>
      <c r="J64" s="9" t="n">
        <f aca="false">MAA!J12</f>
        <v>271.985</v>
      </c>
      <c r="K64" s="9" t="n">
        <f aca="false">MAA!K12</f>
        <v>26926.51954336</v>
      </c>
      <c r="L64" s="9" t="n">
        <f aca="false">MAA!L12</f>
        <v>4151.375</v>
      </c>
      <c r="M64" s="9" t="n">
        <f aca="false">MAA!M12</f>
        <v>365.315</v>
      </c>
      <c r="N64" s="22" t="n">
        <f aca="false">MAA!N12</f>
        <v>43.3923</v>
      </c>
      <c r="O64" s="9" t="n">
        <f aca="false">MAA!O12</f>
        <v>4560.0823</v>
      </c>
      <c r="P64" s="9" t="n">
        <f aca="false">MAA!P12</f>
        <v>31758.58684336</v>
      </c>
      <c r="Q64" s="9" t="n">
        <f aca="false">MAA!Q12</f>
        <v>31486.60184336</v>
      </c>
      <c r="R64" s="9" t="n">
        <f aca="false">MAA!R12</f>
        <v>830.615</v>
      </c>
      <c r="S64" s="5" t="str">
        <f aca="false">MAA!S12</f>
        <v>n/a</v>
      </c>
      <c r="T64" s="5" t="str">
        <f aca="false">MAA!T12</f>
        <v>n/a</v>
      </c>
      <c r="U64" s="9" t="n">
        <f aca="false">MAA!U12</f>
        <v>81.106</v>
      </c>
      <c r="V64" s="9" t="n">
        <f aca="false">MAA!V12</f>
        <v>749.509</v>
      </c>
      <c r="W64" s="9" t="n">
        <f aca="false">MAA!W12</f>
        <v>894.967</v>
      </c>
      <c r="X64" s="9" t="n">
        <f aca="false">MAA!X12</f>
        <v>485.898</v>
      </c>
      <c r="Y64" s="13" t="n">
        <f aca="false">MAA!Y12</f>
        <v>0.0152</v>
      </c>
      <c r="Z64" s="13" t="n">
        <f aca="false">MAA!Z12</f>
        <v>0.0351551750648325</v>
      </c>
      <c r="AA64" s="13" t="n">
        <f aca="false">MAA!AA12</f>
        <v>0.0352825398941794</v>
      </c>
      <c r="AB64" s="14" t="n">
        <f aca="false">MAA!AB12</f>
        <v>28.4453141864837</v>
      </c>
      <c r="AC64" s="14" t="n">
        <f aca="false">MAA!AC12</f>
        <v>28.3426307459507</v>
      </c>
      <c r="AD64" s="13" t="n">
        <f aca="false">MAA!AD12</f>
        <v>0</v>
      </c>
      <c r="AE64" s="13" t="n">
        <f aca="false">MAA!AE12</f>
        <v>0.961</v>
      </c>
    </row>
    <row r="65" customFormat="false" ht="15" hidden="false" customHeight="true" outlineLevel="0" collapsed="false">
      <c r="A65" s="5" t="n">
        <f aca="false">MAA!A13</f>
        <v>2020</v>
      </c>
      <c r="B65" s="9" t="n">
        <f aca="false">MAA!B13</f>
        <v>1037.513</v>
      </c>
      <c r="C65" s="9" t="n">
        <f aca="false">MAA!C13</f>
        <v>167.562</v>
      </c>
      <c r="D65" s="9" t="n">
        <f aca="false">MAA!D13</f>
        <v>869.951</v>
      </c>
      <c r="E65" s="21" t="n">
        <f aca="false">MAA!E13</f>
        <v>126.69</v>
      </c>
      <c r="F65" s="11" t="n">
        <f aca="false">MAA!F13</f>
        <v>118.431384</v>
      </c>
      <c r="G65" s="9" t="n">
        <f aca="false">MAA!G13</f>
        <v>15004.07203896</v>
      </c>
      <c r="H65" s="9" t="n">
        <f aca="false">MAA!H13</f>
        <v>60.993</v>
      </c>
      <c r="I65" s="9" t="n">
        <f aca="false">MAA!I13</f>
        <v>283.477</v>
      </c>
      <c r="J65" s="9" t="n">
        <f aca="false">MAA!J13</f>
        <v>344.47</v>
      </c>
      <c r="K65" s="9" t="n">
        <f aca="false">MAA!K13</f>
        <v>14659.60203896</v>
      </c>
      <c r="L65" s="9" t="n">
        <f aca="false">MAA!L13</f>
        <v>4077.373</v>
      </c>
      <c r="M65" s="9" t="n">
        <f aca="false">MAA!M13</f>
        <v>485.339</v>
      </c>
      <c r="N65" s="22" t="n">
        <f aca="false">MAA!N13</f>
        <v>43.3923</v>
      </c>
      <c r="O65" s="9" t="n">
        <f aca="false">MAA!O13</f>
        <v>4606.1043</v>
      </c>
      <c r="P65" s="9" t="n">
        <f aca="false">MAA!P13</f>
        <v>19610.17633896</v>
      </c>
      <c r="Q65" s="9" t="n">
        <f aca="false">MAA!Q13</f>
        <v>19265.70633896</v>
      </c>
      <c r="R65" s="9" t="n">
        <f aca="false">MAA!R13</f>
        <v>761.352</v>
      </c>
      <c r="S65" s="5" t="str">
        <f aca="false">MAA!S13</f>
        <v>n/a</v>
      </c>
      <c r="T65" s="5" t="str">
        <f aca="false">MAA!T13</f>
        <v>n/a</v>
      </c>
      <c r="U65" s="9" t="n">
        <f aca="false">MAA!U13</f>
        <v>80.42</v>
      </c>
      <c r="V65" s="9" t="n">
        <f aca="false">MAA!V13</f>
        <v>680.932</v>
      </c>
      <c r="W65" s="9" t="n">
        <f aca="false">MAA!W13</f>
        <v>823.949</v>
      </c>
      <c r="X65" s="9" t="n">
        <f aca="false">MAA!X13</f>
        <v>473.598</v>
      </c>
      <c r="Y65" s="13" t="n">
        <f aca="false">MAA!Y13</f>
        <v>0.0093</v>
      </c>
      <c r="Z65" s="13" t="n">
        <f aca="false">MAA!Z13</f>
        <v>0.0538528399502225</v>
      </c>
      <c r="AA65" s="13" t="n">
        <f aca="false">MAA!AA13</f>
        <v>0.0593434254004972</v>
      </c>
      <c r="AB65" s="14" t="n">
        <f aca="false">MAA!AB13</f>
        <v>18.569122834085</v>
      </c>
      <c r="AC65" s="14" t="n">
        <f aca="false">MAA!AC13</f>
        <v>16.8510663692093</v>
      </c>
      <c r="AD65" s="13" t="n">
        <f aca="false">MAA!AD13</f>
        <v>0</v>
      </c>
      <c r="AE65" s="13" t="n">
        <f aca="false">MAA!AE13</f>
        <v>0.956</v>
      </c>
    </row>
    <row r="66" customFormat="false" ht="15" hidden="false" customHeight="true" outlineLevel="0" collapsed="false">
      <c r="A66" s="5" t="n">
        <f aca="false">MAA!A14</f>
        <v>2019</v>
      </c>
      <c r="B66" s="9" t="n">
        <f aca="false">MAA!B14</f>
        <v>1028.172</v>
      </c>
      <c r="C66" s="9" t="n">
        <f aca="false">MAA!C14</f>
        <v>179.847</v>
      </c>
      <c r="D66" s="9" t="n">
        <f aca="false">MAA!D14</f>
        <v>848.325</v>
      </c>
      <c r="E66" s="21" t="n">
        <f aca="false">MAA!E14</f>
        <v>131.86</v>
      </c>
      <c r="F66" s="11" t="n">
        <f aca="false">MAA!F14</f>
        <v>118.313567</v>
      </c>
      <c r="G66" s="9" t="n">
        <f aca="false">MAA!G14</f>
        <v>15600.82694462</v>
      </c>
      <c r="H66" s="9" t="n">
        <f aca="false">MAA!H14</f>
        <v>34.548</v>
      </c>
      <c r="I66" s="9" t="n">
        <f aca="false">MAA!I14</f>
        <v>116.424</v>
      </c>
      <c r="J66" s="9" t="n">
        <f aca="false">MAA!J14</f>
        <v>150.972</v>
      </c>
      <c r="K66" s="9" t="n">
        <f aca="false">MAA!K14</f>
        <v>15449.85494462</v>
      </c>
      <c r="L66" s="9" t="n">
        <f aca="false">MAA!L14</f>
        <v>3828.201</v>
      </c>
      <c r="M66" s="9" t="n">
        <f aca="false">MAA!M14</f>
        <v>626.397</v>
      </c>
      <c r="N66" s="22" t="n">
        <f aca="false">MAA!N14</f>
        <v>43.3923</v>
      </c>
      <c r="O66" s="9" t="n">
        <f aca="false">MAA!O14</f>
        <v>4497.9903</v>
      </c>
      <c r="P66" s="9" t="n">
        <f aca="false">MAA!P14</f>
        <v>20098.81724462</v>
      </c>
      <c r="Q66" s="9" t="n">
        <f aca="false">MAA!Q14</f>
        <v>19947.84524462</v>
      </c>
      <c r="R66" s="9" t="n">
        <f aca="false">MAA!R14</f>
        <v>773.192</v>
      </c>
      <c r="S66" s="5" t="str">
        <f aca="false">MAA!S14</f>
        <v>n/a</v>
      </c>
      <c r="T66" s="5" t="str">
        <f aca="false">MAA!T14</f>
        <v>n/a</v>
      </c>
      <c r="U66" s="9" t="n">
        <f aca="false">MAA!U14</f>
        <v>72.781</v>
      </c>
      <c r="V66" s="9" t="n">
        <f aca="false">MAA!V14</f>
        <v>700.411</v>
      </c>
      <c r="W66" s="9" t="n">
        <f aca="false">MAA!W14</f>
        <v>781.42</v>
      </c>
      <c r="X66" s="9" t="n">
        <f aca="false">MAA!X14</f>
        <v>453.682</v>
      </c>
      <c r="Y66" s="13" t="n">
        <f aca="false">MAA!Y14</f>
        <v>0.0192</v>
      </c>
      <c r="Z66" s="13" t="n">
        <f aca="false">MAA!Z14</f>
        <v>0.0515430106556146</v>
      </c>
      <c r="AA66" s="13" t="n">
        <f aca="false">MAA!AA14</f>
        <v>0.0549082825075589</v>
      </c>
      <c r="AB66" s="14" t="n">
        <f aca="false">MAA!AB14</f>
        <v>19.4012725931264</v>
      </c>
      <c r="AC66" s="14" t="n">
        <f aca="false">MAA!AC14</f>
        <v>18.2121886595585</v>
      </c>
      <c r="AD66" s="13" t="n">
        <f aca="false">MAA!AD14</f>
        <v>0</v>
      </c>
      <c r="AE66" s="13" t="n">
        <f aca="false">MAA!AE14</f>
        <v>0.959</v>
      </c>
    </row>
    <row r="67" customFormat="false" ht="15" hidden="false" customHeight="true" outlineLevel="0" collapsed="false">
      <c r="A67" s="5" t="n">
        <f aca="false">MAA!A15</f>
        <v>2018</v>
      </c>
      <c r="B67" s="9" t="n">
        <f aca="false">MAA!B15</f>
        <v>976.758</v>
      </c>
      <c r="C67" s="9" t="n">
        <f aca="false">MAA!C15</f>
        <v>173.594</v>
      </c>
      <c r="D67" s="9" t="n">
        <f aca="false">MAA!D15</f>
        <v>803.164</v>
      </c>
      <c r="E67" s="21" t="n">
        <f aca="false">MAA!E15</f>
        <v>95.7</v>
      </c>
      <c r="F67" s="11" t="n">
        <f aca="false">MAA!F15</f>
        <v>117.955568</v>
      </c>
      <c r="G67" s="9" t="n">
        <f aca="false">MAA!G15</f>
        <v>11288.3478576</v>
      </c>
      <c r="H67" s="9" t="n">
        <f aca="false">MAA!H15</f>
        <v>58.257</v>
      </c>
      <c r="I67" s="9" t="n">
        <f aca="false">MAA!I15</f>
        <v>59.506</v>
      </c>
      <c r="J67" s="9" t="n">
        <f aca="false">MAA!J15</f>
        <v>117.763</v>
      </c>
      <c r="K67" s="9" t="n">
        <f aca="false">MAA!K15</f>
        <v>11170.5848576</v>
      </c>
      <c r="L67" s="9" t="n">
        <f aca="false">MAA!L15</f>
        <v>4053.302</v>
      </c>
      <c r="M67" s="9" t="n">
        <f aca="false">MAA!M15</f>
        <v>475.026</v>
      </c>
      <c r="N67" s="22" t="n">
        <f aca="false">MAA!N15</f>
        <v>43.3923</v>
      </c>
      <c r="O67" s="9" t="n">
        <f aca="false">MAA!O15</f>
        <v>4571.7203</v>
      </c>
      <c r="P67" s="9" t="n">
        <f aca="false">MAA!P15</f>
        <v>15860.0681576</v>
      </c>
      <c r="Q67" s="9" t="n">
        <f aca="false">MAA!Q15</f>
        <v>15742.3051576</v>
      </c>
      <c r="R67" s="9" t="n">
        <f aca="false">MAA!R15</f>
        <v>712.69</v>
      </c>
      <c r="S67" s="5" t="str">
        <f aca="false">MAA!S15</f>
        <v>n/a</v>
      </c>
      <c r="T67" s="5" t="str">
        <f aca="false">MAA!T15</f>
        <v>n/a</v>
      </c>
      <c r="U67" s="9" t="n">
        <f aca="false">MAA!U15</f>
        <v>74.693</v>
      </c>
      <c r="V67" s="9" t="n">
        <f aca="false">MAA!V15</f>
        <v>637.997</v>
      </c>
      <c r="W67" s="9" t="n">
        <f aca="false">MAA!W15</f>
        <v>734.292</v>
      </c>
      <c r="X67" s="9" t="n">
        <f aca="false">MAA!X15</f>
        <v>434.928</v>
      </c>
      <c r="Y67" s="13" t="n">
        <f aca="false">MAA!Y15</f>
        <v>0.0269</v>
      </c>
      <c r="Z67" s="13" t="n">
        <f aca="false">MAA!Z15</f>
        <v>0.0620466945737261</v>
      </c>
      <c r="AA67" s="13" t="n">
        <f aca="false">MAA!AA15</f>
        <v>0.071899905890206</v>
      </c>
      <c r="AB67" s="14" t="n">
        <f aca="false">MAA!AB15</f>
        <v>16.1168940081371</v>
      </c>
      <c r="AC67" s="14" t="n">
        <f aca="false">MAA!AC15</f>
        <v>13.9082240458985</v>
      </c>
      <c r="AD67" s="13" t="n">
        <f aca="false">MAA!AD15</f>
        <v>0</v>
      </c>
      <c r="AE67" s="13" t="n">
        <f aca="false">MAA!AE15</f>
        <v>0.961</v>
      </c>
    </row>
    <row r="68" customFormat="false" ht="15" hidden="false" customHeight="true" outlineLevel="0" collapsed="false">
      <c r="A68" s="5" t="n">
        <f aca="false">MAA!A16</f>
        <v>2017</v>
      </c>
      <c r="B68" s="9" t="n">
        <f aca="false">MAA!B16</f>
        <v>952.256</v>
      </c>
      <c r="C68" s="9" t="n">
        <f aca="false">MAA!C16</f>
        <v>154.751</v>
      </c>
      <c r="D68" s="9" t="n">
        <f aca="false">MAA!D16</f>
        <v>797.505</v>
      </c>
      <c r="E68" s="21" t="n">
        <f aca="false">MAA!E16</f>
        <v>100.56</v>
      </c>
      <c r="F68" s="11" t="n">
        <f aca="false">MAA!F16</f>
        <v>117.834752</v>
      </c>
      <c r="G68" s="9" t="n">
        <f aca="false">MAA!G16</f>
        <v>11849.46266112</v>
      </c>
      <c r="H68" s="9" t="n">
        <f aca="false">MAA!H16</f>
        <v>57.285</v>
      </c>
      <c r="I68" s="9" t="n">
        <f aca="false">MAA!I16</f>
        <v>116.833</v>
      </c>
      <c r="J68" s="9" t="n">
        <f aca="false">MAA!J16</f>
        <v>174.118</v>
      </c>
      <c r="K68" s="9" t="n">
        <f aca="false">MAA!K16</f>
        <v>11675.34466112</v>
      </c>
      <c r="L68" s="9" t="n">
        <f aca="false">MAA!L16</f>
        <v>3525.765</v>
      </c>
      <c r="M68" s="9" t="n">
        <f aca="false">MAA!M16</f>
        <v>976.292</v>
      </c>
      <c r="N68" s="22" t="n">
        <f aca="false">MAA!N16</f>
        <v>43.3923</v>
      </c>
      <c r="O68" s="9" t="n">
        <f aca="false">MAA!O16</f>
        <v>4545.4493</v>
      </c>
      <c r="P68" s="9" t="n">
        <f aca="false">MAA!P16</f>
        <v>16394.91196112</v>
      </c>
      <c r="Q68" s="9" t="n">
        <f aca="false">MAA!Q16</f>
        <v>16220.79396112</v>
      </c>
      <c r="R68" s="9" t="n">
        <f aca="false">MAA!R16</f>
        <v>699.561</v>
      </c>
      <c r="S68" s="5" t="str">
        <f aca="false">MAA!S16</f>
        <v>n/a</v>
      </c>
      <c r="T68" s="5" t="str">
        <f aca="false">MAA!T16</f>
        <v>n/a</v>
      </c>
      <c r="U68" s="9" t="n">
        <f aca="false">MAA!U16</f>
        <v>75.235</v>
      </c>
      <c r="V68" s="9" t="n">
        <f aca="false">MAA!V16</f>
        <v>624.326</v>
      </c>
      <c r="W68" s="9" t="n">
        <f aca="false">MAA!W16</f>
        <v>658.513</v>
      </c>
      <c r="X68" s="9" t="n">
        <f aca="false">MAA!X16</f>
        <v>409.948</v>
      </c>
      <c r="Y68" s="13" t="n">
        <f aca="false">MAA!Y16</f>
        <v>0.024</v>
      </c>
      <c r="Z68" s="13" t="n">
        <f aca="false">MAA!Z16</f>
        <v>0.0587058809995667</v>
      </c>
      <c r="AA68" s="13" t="n">
        <f aca="false">MAA!AA16</f>
        <v>0.0683067629391505</v>
      </c>
      <c r="AB68" s="14" t="n">
        <f aca="false">MAA!AB16</f>
        <v>17.034068528967</v>
      </c>
      <c r="AC68" s="14" t="n">
        <f aca="false">MAA!AC16</f>
        <v>14.6398388237315</v>
      </c>
      <c r="AD68" s="5" t="n">
        <f aca="false">MAA!AD16</f>
        <v>0</v>
      </c>
      <c r="AE68" s="13" t="n">
        <f aca="false">MAA!AE16</f>
        <v>0.962</v>
      </c>
    </row>
    <row r="69" customFormat="false" ht="15" hidden="false" customHeight="true" outlineLevel="0" collapsed="false">
      <c r="A69" s="5" t="n">
        <f aca="false">MAA!A17</f>
        <v>2016</v>
      </c>
      <c r="B69" s="9" t="n">
        <f aca="false">MAA!B17</f>
        <v>701.992</v>
      </c>
      <c r="C69" s="9" t="n">
        <f aca="false">MAA!C17</f>
        <v>129.947</v>
      </c>
      <c r="D69" s="9" t="n">
        <f aca="false">MAA!D17</f>
        <v>572.045</v>
      </c>
      <c r="E69" s="21" t="n">
        <f aca="false">MAA!E17</f>
        <v>97.92</v>
      </c>
      <c r="F69" s="11" t="n">
        <f aca="false">MAA!F17</f>
        <v>117.738615</v>
      </c>
      <c r="G69" s="9" t="n">
        <f aca="false">MAA!G17</f>
        <v>11528.9651808</v>
      </c>
      <c r="H69" s="9" t="n">
        <f aca="false">MAA!H17</f>
        <v>71.464</v>
      </c>
      <c r="I69" s="9" t="n">
        <f aca="false">MAA!I17</f>
        <v>231.224</v>
      </c>
      <c r="J69" s="9" t="n">
        <f aca="false">MAA!J17</f>
        <v>302.688</v>
      </c>
      <c r="K69" s="9" t="n">
        <f aca="false">MAA!K17</f>
        <v>11226.2771808</v>
      </c>
      <c r="L69" s="9" t="n">
        <f aca="false">MAA!L17</f>
        <v>3180.624</v>
      </c>
      <c r="M69" s="9" t="n">
        <f aca="false">MAA!M17</f>
        <v>1319.088</v>
      </c>
      <c r="N69" s="22" t="n">
        <f aca="false">MAA!N17</f>
        <v>43.3923</v>
      </c>
      <c r="O69" s="9" t="n">
        <f aca="false">MAA!O17</f>
        <v>4543.1043</v>
      </c>
      <c r="P69" s="9" t="n">
        <f aca="false">MAA!P17</f>
        <v>16072.0694808</v>
      </c>
      <c r="Q69" s="9" t="n">
        <f aca="false">MAA!Q17</f>
        <v>15769.3814808</v>
      </c>
      <c r="R69" s="9" t="n">
        <f aca="false">MAA!R17</f>
        <v>490.309</v>
      </c>
      <c r="S69" s="5" t="str">
        <f aca="false">MAA!S17</f>
        <v>n/a</v>
      </c>
      <c r="T69" s="5" t="str">
        <f aca="false">MAA!T17</f>
        <v>n/a</v>
      </c>
      <c r="U69" s="9" t="n">
        <f aca="false">MAA!U17</f>
        <v>51.732</v>
      </c>
      <c r="V69" s="9" t="n">
        <f aca="false">MAA!V17</f>
        <v>438.577</v>
      </c>
      <c r="W69" s="9" t="n">
        <f aca="false">MAA!W17</f>
        <v>484.039</v>
      </c>
      <c r="X69" s="9" t="n">
        <f aca="false">MAA!X17</f>
        <v>261.502</v>
      </c>
      <c r="Y69" s="13" t="n">
        <f aca="false">MAA!Y17</f>
        <v>0.0245</v>
      </c>
      <c r="Z69" s="13" t="n">
        <f aca="false">MAA!Z17</f>
        <v>0.044516140398703</v>
      </c>
      <c r="AA69" s="13" t="n">
        <f aca="false">MAA!AA17</f>
        <v>0.0509558948872519</v>
      </c>
      <c r="AB69" s="14" t="n">
        <f aca="false">MAA!AB17</f>
        <v>22.4637623801981</v>
      </c>
      <c r="AC69" s="14" t="n">
        <f aca="false">MAA!AC17</f>
        <v>19.6248147974373</v>
      </c>
      <c r="AD69" s="5" t="n">
        <f aca="false">MAA!AD17</f>
        <v>0</v>
      </c>
      <c r="AE69" s="13" t="n">
        <f aca="false">MAA!AE17</f>
        <v>0.962</v>
      </c>
    </row>
    <row r="71" customFormat="false" ht="15" hidden="false" customHeight="true" outlineLevel="0" collapsed="false">
      <c r="A71" s="2" t="s">
        <v>738</v>
      </c>
    </row>
    <row r="72" customFormat="false" ht="15" hidden="false" customHeight="true" outlineLevel="0" collapsed="false">
      <c r="A72" s="5" t="n">
        <f aca="false">CPT!A8</f>
        <v>2025</v>
      </c>
      <c r="B72" s="9" t="n">
        <f aca="false">CPT!B8</f>
        <v>1006.834</v>
      </c>
      <c r="C72" s="9" t="n">
        <f aca="false">CPT!C8</f>
        <v>138.239</v>
      </c>
      <c r="D72" s="9" t="n">
        <f aca="false">CPT!D8</f>
        <v>868.595</v>
      </c>
      <c r="E72" s="21" t="n">
        <f aca="false">CPT!E8</f>
        <v>110.08</v>
      </c>
      <c r="F72" s="11" t="n">
        <f aca="false">CPT!F8</f>
        <v>107.807</v>
      </c>
      <c r="G72" s="9" t="n">
        <f aca="false">CPT!G8</f>
        <v>11867.39456</v>
      </c>
      <c r="H72" s="9" t="n">
        <f aca="false">CPT!H8</f>
        <v>0</v>
      </c>
      <c r="I72" s="9" t="n">
        <f aca="false">CPT!I8</f>
        <v>419.227</v>
      </c>
      <c r="J72" s="9" t="n">
        <f aca="false">CPT!J8</f>
        <v>419.227</v>
      </c>
      <c r="K72" s="9" t="n">
        <f aca="false">CPT!K8</f>
        <v>11448.16756</v>
      </c>
      <c r="L72" s="9" t="n">
        <f aca="false">CPT!L8</f>
        <v>3570.193</v>
      </c>
      <c r="M72" s="9" t="n">
        <f aca="false">CPT!M8</f>
        <v>330.597</v>
      </c>
      <c r="N72" s="9" t="n">
        <f aca="false">CPT!N8</f>
        <v>0</v>
      </c>
      <c r="O72" s="9" t="n">
        <f aca="false">CPT!O8</f>
        <v>3900.79</v>
      </c>
      <c r="P72" s="9" t="n">
        <f aca="false">CPT!P8</f>
        <v>15768.18456</v>
      </c>
      <c r="Q72" s="9" t="n">
        <f aca="false">CPT!Q8</f>
        <v>15348.95756</v>
      </c>
      <c r="R72" s="9" t="n">
        <f aca="false">CPT!R8</f>
        <v>757.225</v>
      </c>
      <c r="S72" s="5" t="str">
        <f aca="false">CPT!S8</f>
        <v>n/a</v>
      </c>
      <c r="T72" s="5" t="str">
        <f aca="false">CPT!T8</f>
        <v>n/a</v>
      </c>
      <c r="U72" s="9" t="n">
        <f aca="false">CPT!U8</f>
        <v>108.174</v>
      </c>
      <c r="V72" s="9" t="n">
        <f aca="false">CPT!V8</f>
        <v>649.051</v>
      </c>
      <c r="W72" s="9" t="n">
        <f aca="false">CPT!W8</f>
        <v>826.621</v>
      </c>
      <c r="X72" s="9" t="n">
        <f aca="false">CPT!X8</f>
        <v>460.95</v>
      </c>
      <c r="Y72" s="13" t="n">
        <f aca="false">CPT!Y8</f>
        <v>0.0418</v>
      </c>
      <c r="Z72" s="13" t="n">
        <f aca="false">CPT!Z8</f>
        <v>0.0655962462639059</v>
      </c>
      <c r="AA72" s="13" t="n">
        <f aca="false">CPT!AA8</f>
        <v>0.0758719677579562</v>
      </c>
      <c r="AB72" s="14" t="n">
        <f aca="false">CPT!AB8</f>
        <v>15.2447747692271</v>
      </c>
      <c r="AC72" s="14" t="n">
        <f aca="false">CPT!AC8</f>
        <v>13.1800983887773</v>
      </c>
      <c r="AD72" s="13" t="n">
        <f aca="false">CPT!AD8</f>
        <v>0</v>
      </c>
      <c r="AE72" s="13" t="n">
        <f aca="false">CPT!AE8</f>
        <v>0.954</v>
      </c>
    </row>
    <row r="73" customFormat="false" ht="15" hidden="false" customHeight="true" outlineLevel="0" collapsed="false">
      <c r="A73" s="5" t="n">
        <f aca="false">CPT!A9</f>
        <v>2024</v>
      </c>
      <c r="B73" s="9" t="n">
        <f aca="false">CPT!B9</f>
        <v>985.037</v>
      </c>
      <c r="C73" s="9" t="n">
        <f aca="false">CPT!C9</f>
        <v>129.815</v>
      </c>
      <c r="D73" s="9" t="n">
        <f aca="false">CPT!D9</f>
        <v>855.222</v>
      </c>
      <c r="E73" s="21" t="n">
        <f aca="false">CPT!E9</f>
        <v>116.04</v>
      </c>
      <c r="F73" s="11" t="n">
        <f aca="false">CPT!F9</f>
        <v>110.121</v>
      </c>
      <c r="G73" s="9" t="n">
        <f aca="false">CPT!G9</f>
        <v>12778.44084</v>
      </c>
      <c r="H73" s="9" t="n">
        <f aca="false">CPT!H9</f>
        <v>0</v>
      </c>
      <c r="I73" s="9" t="n">
        <f aca="false">CPT!I9</f>
        <v>401.542</v>
      </c>
      <c r="J73" s="9" t="n">
        <f aca="false">CPT!J9</f>
        <v>401.542</v>
      </c>
      <c r="K73" s="9" t="n">
        <f aca="false">CPT!K9</f>
        <v>12376.89884</v>
      </c>
      <c r="L73" s="9" t="n">
        <f aca="false">CPT!L9</f>
        <v>3155.233</v>
      </c>
      <c r="M73" s="9" t="n">
        <f aca="false">CPT!M9</f>
        <v>330.358</v>
      </c>
      <c r="N73" s="9" t="n">
        <f aca="false">CPT!N9</f>
        <v>0</v>
      </c>
      <c r="O73" s="9" t="n">
        <f aca="false">CPT!O9</f>
        <v>3485.591</v>
      </c>
      <c r="P73" s="9" t="n">
        <f aca="false">CPT!P9</f>
        <v>16264.03184</v>
      </c>
      <c r="Q73" s="9" t="n">
        <f aca="false">CPT!Q9</f>
        <v>15862.48984</v>
      </c>
      <c r="R73" s="9" t="n">
        <f aca="false">CPT!R9</f>
        <v>753.996</v>
      </c>
      <c r="S73" s="5" t="str">
        <f aca="false">CPT!S9</f>
        <v>n/a</v>
      </c>
      <c r="T73" s="5" t="str">
        <f aca="false">CPT!T9</f>
        <v>n/a</v>
      </c>
      <c r="U73" s="9" t="n">
        <f aca="false">CPT!U9</f>
        <v>106.403</v>
      </c>
      <c r="V73" s="9" t="n">
        <f aca="false">CPT!V9</f>
        <v>647.593</v>
      </c>
      <c r="W73" s="9" t="n">
        <f aca="false">CPT!W9</f>
        <v>774.877</v>
      </c>
      <c r="X73" s="9" t="n">
        <f aca="false">CPT!X9</f>
        <v>450.965</v>
      </c>
      <c r="Y73" s="13" t="n">
        <f aca="false">CPT!Y9</f>
        <v>0.0458</v>
      </c>
      <c r="Z73" s="13" t="n">
        <f aca="false">CPT!Z9</f>
        <v>0.0620985110115601</v>
      </c>
      <c r="AA73" s="13" t="n">
        <f aca="false">CPT!AA9</f>
        <v>0.0690982459383178</v>
      </c>
      <c r="AB73" s="14" t="n">
        <f aca="false">CPT!AB9</f>
        <v>16.1034456979789</v>
      </c>
      <c r="AC73" s="14" t="n">
        <f aca="false">CPT!AC9</f>
        <v>14.472147395647</v>
      </c>
      <c r="AD73" s="13" t="n">
        <f aca="false">CPT!AD9</f>
        <v>0</v>
      </c>
      <c r="AE73" s="13" t="n">
        <f aca="false">CPT!AE9</f>
        <v>0.952</v>
      </c>
    </row>
    <row r="74" customFormat="false" ht="15" hidden="false" customHeight="true" outlineLevel="0" collapsed="false">
      <c r="A74" s="5" t="n">
        <f aca="false">CPT!A10</f>
        <v>2023</v>
      </c>
      <c r="B74" s="9" t="n">
        <f aca="false">CPT!B10</f>
        <v>993.107</v>
      </c>
      <c r="C74" s="9" t="n">
        <f aca="false">CPT!C10</f>
        <v>133.395</v>
      </c>
      <c r="D74" s="9" t="n">
        <f aca="false">CPT!D10</f>
        <v>859.712</v>
      </c>
      <c r="E74" s="21" t="n">
        <f aca="false">CPT!E10</f>
        <v>99.29</v>
      </c>
      <c r="F74" s="11" t="n">
        <f aca="false">CPT!F10</f>
        <v>110.336</v>
      </c>
      <c r="G74" s="9" t="n">
        <f aca="false">CPT!G10</f>
        <v>10955.26144</v>
      </c>
      <c r="H74" s="9" t="n">
        <f aca="false">CPT!H10</f>
        <v>0</v>
      </c>
      <c r="I74" s="9" t="n">
        <f aca="false">CPT!I10</f>
        <v>486.864</v>
      </c>
      <c r="J74" s="9" t="n">
        <f aca="false">CPT!J10</f>
        <v>486.864</v>
      </c>
      <c r="K74" s="9" t="n">
        <f aca="false">CPT!K10</f>
        <v>10468.39744</v>
      </c>
      <c r="L74" s="9" t="n">
        <f aca="false">CPT!L10</f>
        <v>3385.309</v>
      </c>
      <c r="M74" s="9" t="n">
        <f aca="false">CPT!M10</f>
        <v>330.127</v>
      </c>
      <c r="N74" s="9" t="n">
        <f aca="false">CPT!N10</f>
        <v>0</v>
      </c>
      <c r="O74" s="9" t="n">
        <f aca="false">CPT!O10</f>
        <v>3715.436</v>
      </c>
      <c r="P74" s="9" t="n">
        <f aca="false">CPT!P10</f>
        <v>14670.69744</v>
      </c>
      <c r="Q74" s="9" t="n">
        <f aca="false">CPT!Q10</f>
        <v>14183.83344</v>
      </c>
      <c r="R74" s="9" t="n">
        <f aca="false">CPT!R10</f>
        <v>751.962</v>
      </c>
      <c r="S74" s="5" t="str">
        <f aca="false">CPT!S10</f>
        <v>n/a</v>
      </c>
      <c r="T74" s="5" t="str">
        <f aca="false">CPT!T10</f>
        <v>n/a</v>
      </c>
      <c r="U74" s="9" t="n">
        <f aca="false">CPT!U10</f>
        <v>97.094</v>
      </c>
      <c r="V74" s="9" t="n">
        <f aca="false">CPT!V10</f>
        <v>654.868</v>
      </c>
      <c r="W74" s="9" t="n">
        <f aca="false">CPT!W10</f>
        <v>794.95</v>
      </c>
      <c r="X74" s="9" t="n">
        <f aca="false">CPT!X10</f>
        <v>434.875</v>
      </c>
      <c r="Y74" s="13" t="n">
        <f aca="false">CPT!Y10</f>
        <v>0.0388</v>
      </c>
      <c r="Z74" s="13" t="n">
        <f aca="false">CPT!Z10</f>
        <v>0.0700168261423126</v>
      </c>
      <c r="AA74" s="13" t="n">
        <f aca="false">CPT!AA10</f>
        <v>0.0821245090213159</v>
      </c>
      <c r="AB74" s="14" t="n">
        <f aca="false">CPT!AB10</f>
        <v>14.2822812043415</v>
      </c>
      <c r="AC74" s="14" t="n">
        <f aca="false">CPT!AC10</f>
        <v>12.176632918931</v>
      </c>
      <c r="AD74" s="13" t="n">
        <f aca="false">CPT!AD10</f>
        <v>0</v>
      </c>
      <c r="AE74" s="13" t="n">
        <f aca="false">CPT!AE10</f>
        <v>0.953</v>
      </c>
    </row>
    <row r="75" customFormat="false" ht="15" hidden="false" customHeight="true" outlineLevel="0" collapsed="false">
      <c r="A75" s="5" t="n">
        <f aca="false">CPT!A11</f>
        <v>2022</v>
      </c>
      <c r="B75" s="9" t="n">
        <f aca="false">CPT!B11</f>
        <v>924.675</v>
      </c>
      <c r="C75" s="9" t="n">
        <f aca="false">CPT!C11</f>
        <v>113.424</v>
      </c>
      <c r="D75" s="9" t="n">
        <f aca="false">CPT!D11</f>
        <v>811.251</v>
      </c>
      <c r="E75" s="21" t="n">
        <f aca="false">CPT!E11</f>
        <v>111.88</v>
      </c>
      <c r="F75" s="11" t="n">
        <f aca="false">CPT!F11</f>
        <v>110.135</v>
      </c>
      <c r="G75" s="9" t="n">
        <f aca="false">CPT!G11</f>
        <v>12321.9038</v>
      </c>
      <c r="H75" s="9" t="n">
        <f aca="false">CPT!H11</f>
        <v>0</v>
      </c>
      <c r="I75" s="9" t="n">
        <f aca="false">CPT!I11</f>
        <v>524.981</v>
      </c>
      <c r="J75" s="9" t="n">
        <f aca="false">CPT!J11</f>
        <v>524.981</v>
      </c>
      <c r="K75" s="9" t="n">
        <f aca="false">CPT!K11</f>
        <v>11796.9228</v>
      </c>
      <c r="L75" s="9" t="n">
        <f aca="false">CPT!L11</f>
        <v>3165.924</v>
      </c>
      <c r="M75" s="9" t="n">
        <f aca="false">CPT!M11</f>
        <v>514.989</v>
      </c>
      <c r="N75" s="9" t="n">
        <f aca="false">CPT!N11</f>
        <v>0</v>
      </c>
      <c r="O75" s="9" t="n">
        <f aca="false">CPT!O11</f>
        <v>3680.913</v>
      </c>
      <c r="P75" s="9" t="n">
        <f aca="false">CPT!P11</f>
        <v>16002.8168</v>
      </c>
      <c r="Q75" s="9" t="n">
        <f aca="false">CPT!Q11</f>
        <v>15477.8358</v>
      </c>
      <c r="R75" s="9" t="n">
        <f aca="false">CPT!R11</f>
        <v>719.612</v>
      </c>
      <c r="S75" s="5" t="str">
        <f aca="false">CPT!S11</f>
        <v>n/a</v>
      </c>
      <c r="T75" s="5" t="str">
        <f aca="false">CPT!T11</f>
        <v>n/a</v>
      </c>
      <c r="U75" s="9" t="n">
        <f aca="false">CPT!U11</f>
        <v>90.715</v>
      </c>
      <c r="V75" s="9" t="n">
        <f aca="false">CPT!V11</f>
        <v>628.897</v>
      </c>
      <c r="W75" s="9" t="n">
        <f aca="false">CPT!W11</f>
        <v>744.712</v>
      </c>
      <c r="X75" s="9" t="n">
        <f aca="false">CPT!X11</f>
        <v>396.822</v>
      </c>
      <c r="Y75" s="13" t="n">
        <f aca="false">CPT!Y11</f>
        <v>0.0388</v>
      </c>
      <c r="Z75" s="13" t="n">
        <f aca="false">CPT!Z11</f>
        <v>0.0597418794170177</v>
      </c>
      <c r="AA75" s="13" t="n">
        <f aca="false">CPT!AA11</f>
        <v>0.0687680180461976</v>
      </c>
      <c r="AB75" s="14" t="n">
        <f aca="false">CPT!AB11</f>
        <v>16.7386766161084</v>
      </c>
      <c r="AC75" s="14" t="n">
        <f aca="false">CPT!AC11</f>
        <v>14.5416434617646</v>
      </c>
      <c r="AD75" s="13" t="n">
        <f aca="false">CPT!AD11</f>
        <v>0</v>
      </c>
      <c r="AE75" s="13" t="n">
        <f aca="false">CPT!AE11</f>
        <v>0.966</v>
      </c>
    </row>
    <row r="76" customFormat="false" ht="15" hidden="false" customHeight="true" outlineLevel="0" collapsed="false">
      <c r="A76" s="5" t="n">
        <f aca="false">CPT!A12</f>
        <v>2021</v>
      </c>
      <c r="B76" s="9" t="n">
        <f aca="false">CPT!B12</f>
        <v>726.56</v>
      </c>
      <c r="C76" s="9" t="n">
        <f aca="false">CPT!C12</f>
        <v>97.297</v>
      </c>
      <c r="D76" s="9" t="n">
        <f aca="false">CPT!D12</f>
        <v>629.263</v>
      </c>
      <c r="E76" s="21" t="n">
        <f aca="false">CPT!E12</f>
        <v>178.68</v>
      </c>
      <c r="F76" s="11" t="n">
        <f aca="false">CPT!F12</f>
        <v>106.97</v>
      </c>
      <c r="G76" s="9" t="n">
        <f aca="false">CPT!G12</f>
        <v>19113.3996</v>
      </c>
      <c r="H76" s="9" t="n">
        <f aca="false">CPT!H12</f>
        <v>0</v>
      </c>
      <c r="I76" s="9" t="n">
        <f aca="false">CPT!I12</f>
        <v>474.739</v>
      </c>
      <c r="J76" s="9" t="n">
        <f aca="false">CPT!J12</f>
        <v>474.739</v>
      </c>
      <c r="K76" s="9" t="n">
        <f aca="false">CPT!K12</f>
        <v>18638.6606</v>
      </c>
      <c r="L76" s="9" t="n">
        <f aca="false">CPT!L12</f>
        <v>3170.367</v>
      </c>
      <c r="M76" s="9" t="n">
        <f aca="false">CPT!M12</f>
        <v>0</v>
      </c>
      <c r="N76" s="9" t="n">
        <f aca="false">CPT!N12</f>
        <v>0</v>
      </c>
      <c r="O76" s="9" t="n">
        <f aca="false">CPT!O12</f>
        <v>3170.367</v>
      </c>
      <c r="P76" s="9" t="n">
        <f aca="false">CPT!P12</f>
        <v>22283.7666</v>
      </c>
      <c r="Q76" s="9" t="n">
        <f aca="false">CPT!Q12</f>
        <v>21809.0276</v>
      </c>
      <c r="R76" s="9" t="n">
        <f aca="false">CPT!R12</f>
        <v>559.35</v>
      </c>
      <c r="S76" s="5" t="str">
        <f aca="false">CPT!S12</f>
        <v>n/a</v>
      </c>
      <c r="T76" s="5" t="str">
        <f aca="false">CPT!T12</f>
        <v>n/a</v>
      </c>
      <c r="U76" s="9" t="n">
        <f aca="false">CPT!U12</f>
        <v>73.603</v>
      </c>
      <c r="V76" s="9" t="n">
        <f aca="false">CPT!V12</f>
        <v>485.747</v>
      </c>
      <c r="W76" s="9" t="n">
        <f aca="false">CPT!W12</f>
        <v>577.467</v>
      </c>
      <c r="X76" s="9" t="n">
        <f aca="false">CPT!X12</f>
        <v>343.039</v>
      </c>
      <c r="Y76" s="13" t="n">
        <f aca="false">CPT!Y12</f>
        <v>0.0152</v>
      </c>
      <c r="Z76" s="13" t="n">
        <f aca="false">CPT!Z12</f>
        <v>0.0333146444365085</v>
      </c>
      <c r="AA76" s="13" t="n">
        <f aca="false">CPT!AA12</f>
        <v>0.0337611705854014</v>
      </c>
      <c r="AB76" s="14" t="n">
        <f aca="false">CPT!AB12</f>
        <v>30.016829442854</v>
      </c>
      <c r="AC76" s="14" t="n">
        <f aca="false">CPT!AC12</f>
        <v>29.6198260504749</v>
      </c>
      <c r="AD76" s="13" t="n">
        <f aca="false">CPT!AD12</f>
        <v>0</v>
      </c>
      <c r="AE76" s="13" t="n">
        <f aca="false">CPT!AE12</f>
        <v>0.968</v>
      </c>
    </row>
    <row r="77" customFormat="false" ht="15" hidden="false" customHeight="true" outlineLevel="0" collapsed="false">
      <c r="A77" s="5" t="n">
        <f aca="false">CPT!A13</f>
        <v>2020</v>
      </c>
      <c r="B77" s="9" t="n">
        <f aca="false">CPT!B13</f>
        <v>649.011</v>
      </c>
      <c r="C77" s="9" t="n">
        <f aca="false">CPT!C13</f>
        <v>91.526</v>
      </c>
      <c r="D77" s="9" t="n">
        <f aca="false">CPT!D13</f>
        <v>557.485</v>
      </c>
      <c r="E77" s="21" t="n">
        <f aca="false">CPT!E13</f>
        <v>99.92</v>
      </c>
      <c r="F77" s="11" t="n">
        <f aca="false">CPT!F13</f>
        <v>101.279</v>
      </c>
      <c r="G77" s="9" t="n">
        <f aca="false">CPT!G13</f>
        <v>10119.79768</v>
      </c>
      <c r="H77" s="9" t="n">
        <f aca="false">CPT!H13</f>
        <v>0</v>
      </c>
      <c r="I77" s="9" t="n">
        <f aca="false">CPT!I13</f>
        <v>564.215</v>
      </c>
      <c r="J77" s="9" t="n">
        <f aca="false">CPT!J13</f>
        <v>564.215</v>
      </c>
      <c r="K77" s="9" t="n">
        <f aca="false">CPT!K13</f>
        <v>9555.58268</v>
      </c>
      <c r="L77" s="9" t="n">
        <f aca="false">CPT!L13</f>
        <v>3166.625</v>
      </c>
      <c r="M77" s="9" t="n">
        <f aca="false">CPT!M13</f>
        <v>0</v>
      </c>
      <c r="N77" s="9" t="n">
        <f aca="false">CPT!N13</f>
        <v>0</v>
      </c>
      <c r="O77" s="9" t="n">
        <f aca="false">CPT!O13</f>
        <v>3166.625</v>
      </c>
      <c r="P77" s="9" t="n">
        <f aca="false">CPT!P13</f>
        <v>13286.42268</v>
      </c>
      <c r="Q77" s="9" t="n">
        <f aca="false">CPT!Q13</f>
        <v>12722.20768</v>
      </c>
      <c r="R77" s="9" t="n">
        <f aca="false">CPT!R13</f>
        <v>495.732</v>
      </c>
      <c r="S77" s="5" t="str">
        <f aca="false">CPT!S13</f>
        <v>n/a</v>
      </c>
      <c r="T77" s="5" t="str">
        <f aca="false">CPT!T13</f>
        <v>n/a</v>
      </c>
      <c r="U77" s="9" t="n">
        <f aca="false">CPT!U13</f>
        <v>77.525</v>
      </c>
      <c r="V77" s="9" t="n">
        <f aca="false">CPT!V13</f>
        <v>418.207</v>
      </c>
      <c r="W77" s="9" t="n">
        <f aca="false">CPT!W13</f>
        <v>519.319</v>
      </c>
      <c r="X77" s="9" t="n">
        <f aca="false">CPT!X13</f>
        <v>333.36</v>
      </c>
      <c r="Y77" s="13" t="n">
        <f aca="false">CPT!Y13</f>
        <v>0.0093</v>
      </c>
      <c r="Z77" s="13" t="n">
        <f aca="false">CPT!Z13</f>
        <v>0.0510140233774269</v>
      </c>
      <c r="AA77" s="13" t="n">
        <f aca="false">CPT!AA13</f>
        <v>0.058341287880521</v>
      </c>
      <c r="AB77" s="14" t="n">
        <f aca="false">CPT!AB13</f>
        <v>19.6024530863113</v>
      </c>
      <c r="AC77" s="14" t="n">
        <f aca="false">CPT!AC13</f>
        <v>17.140519798739</v>
      </c>
      <c r="AD77" s="13" t="n">
        <f aca="false">CPT!AD13</f>
        <v>0</v>
      </c>
      <c r="AE77" s="13" t="n">
        <f aca="false">CPT!AE13</f>
        <v>0.956</v>
      </c>
    </row>
    <row r="78" customFormat="false" ht="15" hidden="false" customHeight="true" outlineLevel="0" collapsed="false">
      <c r="A78" s="5" t="n">
        <f aca="false">CPT!A14</f>
        <v>2019</v>
      </c>
      <c r="B78" s="9" t="n">
        <f aca="false">CPT!B14</f>
        <v>662.114</v>
      </c>
      <c r="C78" s="9" t="n">
        <f aca="false">CPT!C14</f>
        <v>80.706</v>
      </c>
      <c r="D78" s="9" t="n">
        <f aca="false">CPT!D14</f>
        <v>581.408</v>
      </c>
      <c r="E78" s="21" t="n">
        <f aca="false">CPT!E14</f>
        <v>106.1</v>
      </c>
      <c r="F78" s="11" t="n">
        <f aca="false">CPT!F14</f>
        <v>101.091</v>
      </c>
      <c r="G78" s="9" t="n">
        <f aca="false">CPT!G14</f>
        <v>10725.7551</v>
      </c>
      <c r="H78" s="9" t="n">
        <f aca="false">CPT!H14</f>
        <v>0</v>
      </c>
      <c r="I78" s="9" t="n">
        <f aca="false">CPT!I14</f>
        <v>512.319</v>
      </c>
      <c r="J78" s="9" t="n">
        <f aca="false">CPT!J14</f>
        <v>512.319</v>
      </c>
      <c r="K78" s="9" t="n">
        <f aca="false">CPT!K14</f>
        <v>10213.4361</v>
      </c>
      <c r="L78" s="9" t="n">
        <f aca="false">CPT!L14</f>
        <v>2524.099</v>
      </c>
      <c r="M78" s="9" t="n">
        <f aca="false">CPT!M14</f>
        <v>0</v>
      </c>
      <c r="N78" s="9" t="n">
        <f aca="false">CPT!N14</f>
        <v>0</v>
      </c>
      <c r="O78" s="9" t="n">
        <f aca="false">CPT!O14</f>
        <v>2524.099</v>
      </c>
      <c r="P78" s="9" t="n">
        <f aca="false">CPT!P14</f>
        <v>13249.8541</v>
      </c>
      <c r="Q78" s="9" t="n">
        <f aca="false">CPT!Q14</f>
        <v>12737.5351</v>
      </c>
      <c r="R78" s="9" t="n">
        <f aca="false">CPT!R14</f>
        <v>505.388</v>
      </c>
      <c r="S78" s="5" t="str">
        <f aca="false">CPT!S14</f>
        <v>n/a</v>
      </c>
      <c r="T78" s="5" t="str">
        <f aca="false">CPT!T14</f>
        <v>n/a</v>
      </c>
      <c r="U78" s="9" t="n">
        <f aca="false">CPT!U14</f>
        <v>72.172</v>
      </c>
      <c r="V78" s="9" t="n">
        <f aca="false">CPT!V14</f>
        <v>433.216</v>
      </c>
      <c r="W78" s="9" t="n">
        <f aca="false">CPT!W14</f>
        <v>555.597</v>
      </c>
      <c r="X78" s="9" t="n">
        <f aca="false">CPT!X14</f>
        <v>317.253</v>
      </c>
      <c r="Y78" s="13" t="n">
        <f aca="false">CPT!Y14</f>
        <v>0.0192</v>
      </c>
      <c r="Z78" s="13" t="n">
        <f aca="false">CPT!Z14</f>
        <v>0.0519813287894296</v>
      </c>
      <c r="AA78" s="13" t="n">
        <f aca="false">CPT!AA14</f>
        <v>0.0569257979692065</v>
      </c>
      <c r="AB78" s="14" t="n">
        <f aca="false">CPT!AB14</f>
        <v>19.2376767444881</v>
      </c>
      <c r="AC78" s="14" t="n">
        <f aca="false">CPT!AC14</f>
        <v>17.5667278400022</v>
      </c>
      <c r="AD78" s="5" t="n">
        <f aca="false">CPT!AD14</f>
        <v>0</v>
      </c>
      <c r="AE78" s="13" t="n">
        <f aca="false">CPT!AE14</f>
        <v>0.961</v>
      </c>
    </row>
    <row r="79" customFormat="false" ht="15" hidden="false" customHeight="true" outlineLevel="0" collapsed="false">
      <c r="A79" s="5" t="n">
        <f aca="false">CPT!A15</f>
        <v>2018</v>
      </c>
      <c r="B79" s="9" t="n">
        <f aca="false">CPT!B15</f>
        <v>610.926</v>
      </c>
      <c r="C79" s="9" t="n">
        <f aca="false">CPT!C15</f>
        <v>84.263</v>
      </c>
      <c r="D79" s="9" t="n">
        <f aca="false">CPT!D15</f>
        <v>526.663</v>
      </c>
      <c r="E79" s="21" t="n">
        <f aca="false">CPT!E15</f>
        <v>88.05</v>
      </c>
      <c r="F79" s="11" t="n">
        <f aca="false">CPT!F15</f>
        <v>97.247</v>
      </c>
      <c r="G79" s="9" t="n">
        <f aca="false">CPT!G15</f>
        <v>8562.59835</v>
      </c>
      <c r="H79" s="9" t="n">
        <f aca="false">CPT!H15</f>
        <v>0</v>
      </c>
      <c r="I79" s="9" t="n">
        <f aca="false">CPT!I15</f>
        <v>293.978</v>
      </c>
      <c r="J79" s="9" t="n">
        <f aca="false">CPT!J15</f>
        <v>293.978</v>
      </c>
      <c r="K79" s="9" t="n">
        <f aca="false">CPT!K15</f>
        <v>8268.62035</v>
      </c>
      <c r="L79" s="9" t="n">
        <f aca="false">CPT!L15</f>
        <v>1836.427</v>
      </c>
      <c r="M79" s="9" t="n">
        <f aca="false">CPT!M15</f>
        <v>485.176</v>
      </c>
      <c r="N79" s="9" t="n">
        <f aca="false">CPT!N15</f>
        <v>0</v>
      </c>
      <c r="O79" s="9" t="n">
        <f aca="false">CPT!O15</f>
        <v>2321.603</v>
      </c>
      <c r="P79" s="9" t="n">
        <f aca="false">CPT!P15</f>
        <v>10884.20135</v>
      </c>
      <c r="Q79" s="9" t="n">
        <f aca="false">CPT!Q15</f>
        <v>10590.22335</v>
      </c>
      <c r="R79" s="9" t="n">
        <f aca="false">CPT!R15</f>
        <v>463.982</v>
      </c>
      <c r="S79" s="5" t="str">
        <f aca="false">CPT!S15</f>
        <v>n/a</v>
      </c>
      <c r="T79" s="5" t="str">
        <f aca="false">CPT!T15</f>
        <v>n/a</v>
      </c>
      <c r="U79" s="9" t="n">
        <f aca="false">CPT!U15</f>
        <v>72.296</v>
      </c>
      <c r="V79" s="9" t="n">
        <f aca="false">CPT!V15</f>
        <v>391.686</v>
      </c>
      <c r="W79" s="9" t="n">
        <f aca="false">CPT!W15</f>
        <v>503.747</v>
      </c>
      <c r="X79" s="9" t="n">
        <f aca="false">CPT!X15</f>
        <v>298.005</v>
      </c>
      <c r="Y79" s="13" t="n">
        <f aca="false">CPT!Y15</f>
        <v>0.0269</v>
      </c>
      <c r="Z79" s="13" t="n">
        <f aca="false">CPT!Z15</f>
        <v>0.0576877351694381</v>
      </c>
      <c r="AA79" s="13" t="n">
        <f aca="false">CPT!AA15</f>
        <v>0.0636941808556974</v>
      </c>
      <c r="AB79" s="14" t="n">
        <f aca="false">CPT!AB15</f>
        <v>17.3347072313177</v>
      </c>
      <c r="AC79" s="14" t="n">
        <f aca="false">CPT!AC15</f>
        <v>15.7000213609082</v>
      </c>
      <c r="AD79" s="5" t="n">
        <f aca="false">CPT!AD15</f>
        <v>0</v>
      </c>
      <c r="AE79" s="13" t="n">
        <f aca="false">CPT!AE15</f>
        <v>0.957</v>
      </c>
    </row>
    <row r="80" customFormat="false" ht="15" hidden="false" customHeight="true" outlineLevel="0" collapsed="false">
      <c r="A80" s="5" t="n">
        <f aca="false">CPT!A16</f>
        <v>2017</v>
      </c>
      <c r="B80" s="9" t="n">
        <f aca="false">CPT!B16</f>
        <v>572.154</v>
      </c>
      <c r="C80" s="9" t="n">
        <f aca="false">CPT!C16</f>
        <v>86.75</v>
      </c>
      <c r="D80" s="9" t="n">
        <f aca="false">CPT!D16</f>
        <v>485.404</v>
      </c>
      <c r="E80" s="21" t="n">
        <f aca="false">CPT!E16</f>
        <v>92.06</v>
      </c>
      <c r="F80" s="11" t="n">
        <f aca="false">CPT!F16</f>
        <v>97.095</v>
      </c>
      <c r="G80" s="9" t="n">
        <f aca="false">CPT!G16</f>
        <v>8938.5657</v>
      </c>
      <c r="H80" s="9" t="n">
        <f aca="false">CPT!H16</f>
        <v>0</v>
      </c>
      <c r="I80" s="9" t="n">
        <f aca="false">CPT!I16</f>
        <v>377.231</v>
      </c>
      <c r="J80" s="9" t="n">
        <f aca="false">CPT!J16</f>
        <v>377.231</v>
      </c>
      <c r="K80" s="9" t="n">
        <f aca="false">CPT!K16</f>
        <v>8561.3347</v>
      </c>
      <c r="L80" s="9" t="n">
        <f aca="false">CPT!L16</f>
        <v>1338.628</v>
      </c>
      <c r="M80" s="9" t="n">
        <f aca="false">CPT!M16</f>
        <v>865.97</v>
      </c>
      <c r="N80" s="9" t="n">
        <f aca="false">CPT!N16</f>
        <v>0</v>
      </c>
      <c r="O80" s="9" t="n">
        <f aca="false">CPT!O16</f>
        <v>2204.598</v>
      </c>
      <c r="P80" s="9" t="n">
        <f aca="false">CPT!P16</f>
        <v>11143.1637</v>
      </c>
      <c r="Q80" s="9" t="n">
        <f aca="false">CPT!Q16</f>
        <v>10765.9327</v>
      </c>
      <c r="R80" s="9" t="n">
        <f aca="false">CPT!R16</f>
        <v>424.072</v>
      </c>
      <c r="S80" s="5" t="str">
        <f aca="false">CPT!S16</f>
        <v>n/a</v>
      </c>
      <c r="T80" s="5" t="str">
        <f aca="false">CPT!T16</f>
        <v>n/a</v>
      </c>
      <c r="U80" s="9" t="n">
        <f aca="false">CPT!U16</f>
        <v>64.758</v>
      </c>
      <c r="V80" s="9" t="n">
        <f aca="false">CPT!V16</f>
        <v>359.314</v>
      </c>
      <c r="W80" s="9" t="n">
        <f aca="false">CPT!W16</f>
        <v>434.656</v>
      </c>
      <c r="X80" s="9" t="n">
        <f aca="false">CPT!X16</f>
        <v>280.761</v>
      </c>
      <c r="Y80" s="13" t="n">
        <f aca="false">CPT!Y16</f>
        <v>0.024</v>
      </c>
      <c r="Z80" s="13" t="n">
        <f aca="false">CPT!Z16</f>
        <v>0.0531448612900952</v>
      </c>
      <c r="AA80" s="13" t="n">
        <f aca="false">CPT!AA16</f>
        <v>0.0566972343693093</v>
      </c>
      <c r="AB80" s="14" t="n">
        <f aca="false">CPT!AB16</f>
        <v>18.8164946849974</v>
      </c>
      <c r="AC80" s="14" t="n">
        <f aca="false">CPT!AC16</f>
        <v>17.6375446020222</v>
      </c>
      <c r="AD80" s="5" t="n">
        <f aca="false">CPT!AD16</f>
        <v>0</v>
      </c>
      <c r="AE80" s="13" t="n">
        <f aca="false">CPT!AE16</f>
        <v>0.955</v>
      </c>
    </row>
    <row r="81" customFormat="false" ht="15" hidden="false" customHeight="true" outlineLevel="0" collapsed="false">
      <c r="A81" s="5" t="n">
        <f aca="false">CPT!A17</f>
        <v>2016</v>
      </c>
      <c r="B81" s="9" t="n">
        <f aca="false">CPT!B17</f>
        <v>565.092</v>
      </c>
      <c r="C81" s="9" t="n">
        <f aca="false">CPT!C17</f>
        <v>93.145</v>
      </c>
      <c r="D81" s="9" t="n">
        <f aca="false">CPT!D17</f>
        <v>471.947</v>
      </c>
      <c r="E81" s="21" t="n">
        <f aca="false">CPT!E17</f>
        <v>84.07</v>
      </c>
      <c r="F81" s="11" t="n">
        <f aca="false">CPT!F17</f>
        <v>91.963</v>
      </c>
      <c r="G81" s="9" t="n">
        <f aca="false">CPT!G17</f>
        <v>7731.32941</v>
      </c>
      <c r="H81" s="9" t="n">
        <f aca="false">CPT!H17</f>
        <v>0</v>
      </c>
      <c r="I81" s="9" t="n">
        <f aca="false">CPT!I17</f>
        <v>442.292</v>
      </c>
      <c r="J81" s="9" t="n">
        <f aca="false">CPT!J17</f>
        <v>442.292</v>
      </c>
      <c r="K81" s="9" t="n">
        <f aca="false">CPT!K17</f>
        <v>7289.03741</v>
      </c>
      <c r="L81" s="9" t="n">
        <f aca="false">CPT!L17</f>
        <v>1583.236</v>
      </c>
      <c r="M81" s="9" t="n">
        <f aca="false">CPT!M17</f>
        <v>897.352</v>
      </c>
      <c r="N81" s="9" t="n">
        <f aca="false">CPT!N17</f>
        <v>0</v>
      </c>
      <c r="O81" s="9" t="n">
        <f aca="false">CPT!O17</f>
        <v>2480.588</v>
      </c>
      <c r="P81" s="9" t="n">
        <f aca="false">CPT!P17</f>
        <v>10211.91741</v>
      </c>
      <c r="Q81" s="9" t="n">
        <f aca="false">CPT!Q17</f>
        <v>9769.62541</v>
      </c>
      <c r="R81" s="9" t="n">
        <f aca="false">CPT!R17</f>
        <v>425.464</v>
      </c>
      <c r="S81" s="5" t="str">
        <f aca="false">CPT!S17</f>
        <v>n/a</v>
      </c>
      <c r="T81" s="5" t="str">
        <f aca="false">CPT!T17</f>
        <v>n/a</v>
      </c>
      <c r="U81" s="9" t="n">
        <f aca="false">CPT!U17</f>
        <v>59.084</v>
      </c>
      <c r="V81" s="9" t="n">
        <f aca="false">CPT!V17</f>
        <v>366.38</v>
      </c>
      <c r="W81" s="9" t="n">
        <f aca="false">CPT!W17</f>
        <v>443.063</v>
      </c>
      <c r="X81" s="9" t="n">
        <f aca="false">CPT!X17</f>
        <v>663.363</v>
      </c>
      <c r="Y81" s="13" t="n">
        <f aca="false">CPT!Y17</f>
        <v>0.0245</v>
      </c>
      <c r="Z81" s="13" t="n">
        <f aca="false">CPT!Z17</f>
        <v>0.0578417264004393</v>
      </c>
      <c r="AA81" s="13" t="n">
        <f aca="false">CPT!AA17</f>
        <v>0.0647475069002287</v>
      </c>
      <c r="AB81" s="14" t="n">
        <f aca="false">CPT!AB17</f>
        <v>17.2885572791687</v>
      </c>
      <c r="AC81" s="14" t="n">
        <f aca="false">CPT!AC17</f>
        <v>15.4446101151189</v>
      </c>
      <c r="AD81" s="5" t="n">
        <f aca="false">CPT!AD17</f>
        <v>0</v>
      </c>
      <c r="AE81" s="13" t="n">
        <f aca="false">CPT!AE17</f>
        <v>0.954</v>
      </c>
    </row>
    <row r="82" customFormat="false" ht="15" hidden="false" customHeight="true" outlineLevel="0" collapsed="false">
      <c r="A82" s="5" t="s">
        <v>739</v>
      </c>
    </row>
    <row r="83" customFormat="false" ht="15" hidden="false" customHeight="true" outlineLevel="0" collapsed="false">
      <c r="A83" s="5" t="s">
        <v>599</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C4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29" min="1" style="1" width="15"/>
  </cols>
  <sheetData>
    <row r="1" customFormat="false" ht="15" hidden="false" customHeight="true" outlineLevel="0" collapsed="false">
      <c r="A1" s="4" t="s">
        <v>740</v>
      </c>
    </row>
    <row r="2" customFormat="false" ht="15" hidden="false" customHeight="true" outlineLevel="0" collapsed="false">
      <c r="A2" s="17" t="s">
        <v>741</v>
      </c>
    </row>
    <row r="3" customFormat="false" ht="75" hidden="false" customHeight="true" outlineLevel="0" collapsed="false">
      <c r="A3" s="8" t="s">
        <v>533</v>
      </c>
      <c r="B3" s="8" t="s">
        <v>742</v>
      </c>
      <c r="C3" s="8" t="s">
        <v>557</v>
      </c>
      <c r="D3" s="8" t="s">
        <v>603</v>
      </c>
      <c r="E3" s="8" t="s">
        <v>743</v>
      </c>
      <c r="F3" s="8" t="s">
        <v>605</v>
      </c>
      <c r="G3" s="8" t="s">
        <v>606</v>
      </c>
      <c r="H3" s="8" t="s">
        <v>607</v>
      </c>
      <c r="I3" s="8" t="s">
        <v>608</v>
      </c>
      <c r="J3" s="8" t="s">
        <v>560</v>
      </c>
      <c r="K3" s="8" t="s">
        <v>561</v>
      </c>
      <c r="L3" s="8" t="s">
        <v>534</v>
      </c>
      <c r="M3" s="8" t="s">
        <v>549</v>
      </c>
      <c r="N3" s="8" t="s">
        <v>536</v>
      </c>
      <c r="O3" s="8" t="s">
        <v>543</v>
      </c>
      <c r="P3" s="8" t="s">
        <v>609</v>
      </c>
      <c r="Q3" s="8" t="s">
        <v>610</v>
      </c>
      <c r="R3" s="8" t="s">
        <v>611</v>
      </c>
      <c r="S3" s="8" t="s">
        <v>612</v>
      </c>
      <c r="T3" s="8" t="s">
        <v>613</v>
      </c>
      <c r="U3" s="8" t="s">
        <v>614</v>
      </c>
      <c r="V3" s="8" t="s">
        <v>615</v>
      </c>
      <c r="W3" s="8" t="s">
        <v>616</v>
      </c>
      <c r="X3" s="8" t="s">
        <v>617</v>
      </c>
      <c r="Y3" s="8" t="s">
        <v>618</v>
      </c>
      <c r="Z3" s="8" t="s">
        <v>619</v>
      </c>
      <c r="AA3" s="8" t="s">
        <v>620</v>
      </c>
      <c r="AB3" s="8" t="s">
        <v>621</v>
      </c>
      <c r="AC3" s="8" t="s">
        <v>622</v>
      </c>
    </row>
    <row r="4" customFormat="false" ht="15" hidden="false" customHeight="true" outlineLevel="0" collapsed="false">
      <c r="A4" s="2" t="n">
        <v>2016</v>
      </c>
      <c r="B4" s="13" t="n">
        <f aca="false">INDEX(Composite!$Z$8:$Z$17,MATCH($A4,Composite!$A$8:$A$17,0))</f>
        <v>0.0480554051056047</v>
      </c>
      <c r="C4" s="13" t="n">
        <f aca="false">INDEX(Composite!$Y$8:$Y$17,MATCH($A4,Composite!$A$8:$A$17,0))</f>
        <v>0.0245</v>
      </c>
      <c r="D4" s="13" t="n">
        <f aca="false">B4-C4</f>
        <v>0.0235554051056047</v>
      </c>
      <c r="E4" s="13" t="n">
        <f aca="false">INDEX(Composite!$AA$8:$AA$17,MATCH($A4,Composite!$A$8:$A$17,0))</f>
        <v>0.0547560201266435</v>
      </c>
      <c r="F4" s="13" t="n">
        <f aca="false">E4-B4</f>
        <v>0.0067006150210388</v>
      </c>
      <c r="G4" s="13" t="n">
        <f aca="false">INDEX('Costar - US Multifamily'!$F$2:$F$34,MATCH($A4,'Costar - US Multifamily'!$A$2:$A$34,0))</f>
        <v>0.0661997473427734</v>
      </c>
      <c r="H4" s="13" t="n">
        <f aca="false">INDEX('Costar - US Multifamily'!$I$2:$I$34,MATCH($A4,'Costar - US Multifamily'!$A$2:$A$34,0))</f>
        <v>0.0275386662713405</v>
      </c>
      <c r="I4" s="13" t="n">
        <f aca="false">INDEX('Costar - US Multifamily'!$C$2:$C$34,MATCH($A4,'Costar - US Multifamily'!$A$2:$A$34,0))/INDEX('Costar - US Multifamily'!$B$2:$B$34,MATCH($A4,'Costar - US Multifamily'!$A$2:$A$34,0))</f>
        <v>0.0205364859117959</v>
      </c>
      <c r="J4" s="18" t="n">
        <f aca="false">INDEX(Composite!$AB$8:$AB$17,MATCH($A4,Composite!$A$8:$A$17,0))</f>
        <v>20.809313703681</v>
      </c>
      <c r="K4" s="18" t="n">
        <f aca="false">INDEX(Composite!$AC$8:$AC$17,MATCH($A4,Composite!$A$8:$A$17,0))</f>
        <v>18.2628320627966</v>
      </c>
      <c r="L4" s="9" t="n">
        <f aca="false">INDEX(Composite!$B$8:$B$17,MATCH($A4,Composite!$A$8:$A$17,0))</f>
        <v>1056.86335369464</v>
      </c>
      <c r="M4" s="9" t="n">
        <f aca="false">INDEX(Composite!$Q$8:$Q$17,MATCH($A4,Composite!$A$8:$A$17,0))</f>
        <v>21992.6010689561</v>
      </c>
      <c r="N4" s="9" t="n">
        <f aca="false">INDEX(Composite!$D$8:$D$17,MATCH($A4,Composite!$A$8:$A$17,0))</f>
        <v>902.66027785429</v>
      </c>
      <c r="O4" s="9" t="n">
        <f aca="false">INDEX(Composite!$K$8:$K$17,MATCH($A4,Composite!$A$8:$A$17,0))</f>
        <v>16485.1330642102</v>
      </c>
      <c r="P4" s="13" t="n">
        <f aca="false">INDEX('Prime Rate'!$B$2:$B$13,MATCH($A4,'Prime Rate'!$A$2:$A$13,0))/100</f>
        <v>0.0351</v>
      </c>
      <c r="Q4" s="9" t="n">
        <f aca="false">M4-L4</f>
        <v>20935.7377152615</v>
      </c>
      <c r="R4" s="9" t="n">
        <f aca="false">O4-N4</f>
        <v>15582.4727863559</v>
      </c>
      <c r="S4" s="13" t="n">
        <f aca="false">INDEX(Inflation!$G$4:$G$21,MATCH($A4,Inflation!$A$4:$A$21,0))</f>
        <v>0.0126707791495431</v>
      </c>
      <c r="T4" s="13" t="n">
        <f aca="false">INDEX('Green Street National'!$D$4:$D$18,MATCH($A4,'Green Street National'!$A$4:$A$18,0))</f>
        <v>0.04852258</v>
      </c>
      <c r="U4" s="18" t="n">
        <f aca="false">INDEX('Green Street National'!$F$4:$F$18,MATCH($A4,'Green Street National'!$A$4:$A$18,0))</f>
        <v>100</v>
      </c>
      <c r="V4" s="18" t="n">
        <f aca="false">INDEX(Inflation!$D$4:$D$21,MATCH($A4,Inflation!$A$4:$A$21,0))</f>
        <v>100</v>
      </c>
      <c r="W4" s="18" t="n">
        <f aca="false">INDEX(Inflation!$E$4:$E$21,MATCH($A4,Inflation!$A$4:$A$21,0))</f>
        <v>100</v>
      </c>
      <c r="X4" s="18" t="n">
        <f aca="false">INDEX('Costar - US Multifamily'!$H$2:$H$34,MATCH($A4,'Costar - US Multifamily'!$A$2:$A$34,0))/INDEX('Costar - US Multifamily'!$H$2:$H$34,MATCH(2016,'Costar - US Multifamily'!$A$2:$A$34,0))*100</f>
        <v>100</v>
      </c>
      <c r="Y4" s="13" t="n">
        <f aca="false">INDEX('Green Street National'!$C$4:$C$18,MATCH($A4,'Green Street National'!$A$4:$A$18,0))</f>
        <v>0.01663905</v>
      </c>
      <c r="Z4" s="13" t="n">
        <f aca="false">INDEX('Costar - US Multifamily'!$F$2:$F$34,MATCH($A4-1,'Costar - US Multifamily'!$A$2:$A$34,0))-INDEX('Costar - US Multifamily'!$F$2:$F$34,MATCH($A4,'Costar - US Multifamily'!$A$2:$A$34,0))</f>
        <v>-0.0032131800575991</v>
      </c>
      <c r="AA4" s="9" t="n">
        <f aca="false">INDEX('Costar - US Multifamily'!$H$2:$H$34,MATCH($A4,'Costar - US Multifamily'!$A$2:$A$34,0))</f>
        <v>1376.36653028372</v>
      </c>
      <c r="AB4" s="19" t="n">
        <f aca="false">1-INDEX('Costar - US Multifamily'!$F$2:$F$34,MATCH($A4,'Costar - US Multifamily'!$A$2:$A$34,0))</f>
        <v>0.933800252657227</v>
      </c>
      <c r="AC4" s="18" t="n">
        <f aca="false">100</f>
        <v>100</v>
      </c>
    </row>
    <row r="5" customFormat="false" ht="15" hidden="false" customHeight="true" outlineLevel="0" collapsed="false">
      <c r="A5" s="2" t="n">
        <v>2017</v>
      </c>
      <c r="B5" s="13" t="n">
        <f aca="false">INDEX(Composite!$Z$8:$Z$17,MATCH($A5,Composite!$A$8:$A$17,0))</f>
        <v>0.0510976531008118</v>
      </c>
      <c r="C5" s="13" t="n">
        <f aca="false">INDEX(Composite!$Y$8:$Y$17,MATCH($A5,Composite!$A$8:$A$17,0))</f>
        <v>0.024</v>
      </c>
      <c r="D5" s="13" t="n">
        <f aca="false">B5-C5</f>
        <v>0.0270976531008118</v>
      </c>
      <c r="E5" s="13" t="n">
        <f aca="false">INDEX(Composite!$AA$8:$AA$17,MATCH($A5,Composite!$A$8:$A$17,0))</f>
        <v>0.0580298491443848</v>
      </c>
      <c r="F5" s="13" t="n">
        <f aca="false">E5-B5</f>
        <v>0.00693219604357298</v>
      </c>
      <c r="G5" s="13" t="n">
        <f aca="false">INDEX('Costar - US Multifamily'!$F$2:$F$34,MATCH($A5,'Costar - US Multifamily'!$A$2:$A$34,0))</f>
        <v>0.0682590756692329</v>
      </c>
      <c r="H5" s="13" t="n">
        <f aca="false">INDEX('Costar - US Multifamily'!$I$2:$I$34,MATCH($A5,'Costar - US Multifamily'!$A$2:$A$34,0))</f>
        <v>0.0270137577423179</v>
      </c>
      <c r="I5" s="13" t="n">
        <f aca="false">INDEX('Costar - US Multifamily'!$C$2:$C$34,MATCH($A5,'Costar - US Multifamily'!$A$2:$A$34,0))/INDEX('Costar - US Multifamily'!$B$2:$B$34,MATCH($A5,'Costar - US Multifamily'!$A$2:$A$34,0))</f>
        <v>0.0224537348225863</v>
      </c>
      <c r="J5" s="18" t="n">
        <f aca="false">INDEX(Composite!$AB$8:$AB$17,MATCH($A5,Composite!$A$8:$A$17,0))</f>
        <v>19.570370443963</v>
      </c>
      <c r="K5" s="18" t="n">
        <f aca="false">INDEX(Composite!$AC$8:$AC$17,MATCH($A5,Composite!$A$8:$A$17,0))</f>
        <v>17.2325107637603</v>
      </c>
      <c r="L5" s="9" t="n">
        <f aca="false">INDEX(Composite!$B$8:$B$17,MATCH($A5,Composite!$A$8:$A$17,0))</f>
        <v>1166.93744058576</v>
      </c>
      <c r="M5" s="9" t="n">
        <f aca="false">INDEX(Composite!$Q$8:$Q$17,MATCH($A5,Composite!$A$8:$A$17,0))</f>
        <v>22837.3979971934</v>
      </c>
      <c r="N5" s="9" t="n">
        <f aca="false">INDEX(Composite!$D$8:$D$17,MATCH($A5,Composite!$A$8:$A$17,0))</f>
        <v>1001.03919997018</v>
      </c>
      <c r="O5" s="9" t="n">
        <f aca="false">INDEX(Composite!$K$8:$K$17,MATCH($A5,Composite!$A$8:$A$17,0))</f>
        <v>17250.4187884321</v>
      </c>
      <c r="P5" s="13" t="n">
        <f aca="false">INDEX('Prime Rate'!$B$2:$B$13,MATCH($A5,'Prime Rate'!$A$2:$A$13,0))/100</f>
        <v>0.041</v>
      </c>
      <c r="Q5" s="9" t="n">
        <f aca="false">M5-L5</f>
        <v>21670.4605566076</v>
      </c>
      <c r="R5" s="9" t="n">
        <f aca="false">O5-N5</f>
        <v>16249.3795884619</v>
      </c>
      <c r="S5" s="13" t="n">
        <f aca="false">INDEX(Inflation!$G$4:$G$21,MATCH($A5,Inflation!$A$4:$A$21,0))</f>
        <v>0.0213162225786963</v>
      </c>
      <c r="T5" s="13" t="n">
        <f aca="false">INDEX('Green Street National'!$D$4:$D$18,MATCH($A5,'Green Street National'!$A$4:$A$18,0))</f>
        <v>0.0501092</v>
      </c>
      <c r="U5" s="18" t="n">
        <f aca="false">INDEX('Green Street National'!$F$4:$F$18,MATCH($A5,'Green Street National'!$A$4:$A$18,0))</f>
        <v>99.9419598056238</v>
      </c>
      <c r="V5" s="18" t="n">
        <f aca="false">INDEX(Inflation!$D$4:$D$21,MATCH($A5,Inflation!$A$4:$A$21,0))</f>
        <v>102.196167016261</v>
      </c>
      <c r="W5" s="18" t="n">
        <f aca="false">INDEX(Inflation!$E$4:$E$21,MATCH($A5,Inflation!$A$4:$A$21,0))</f>
        <v>102.13162225787</v>
      </c>
      <c r="X5" s="18" t="n">
        <f aca="false">INDEX('Costar - US Multifamily'!$H$2:$H$34,MATCH($A5,'Costar - US Multifamily'!$A$2:$A$34,0))/INDEX('Costar - US Multifamily'!$H$2:$H$34,MATCH(2016,'Costar - US Multifamily'!$A$2:$A$34,0))*100</f>
        <v>102.701375774232</v>
      </c>
      <c r="Y5" s="13" t="n">
        <f aca="false">INDEX('Green Street National'!$C$4:$C$18,MATCH($A5,'Green Street National'!$A$4:$A$18,0))</f>
        <v>0.0191307</v>
      </c>
      <c r="Z5" s="13" t="n">
        <f aca="false">INDEX('Costar - US Multifamily'!$F$2:$F$34,MATCH($A5-1,'Costar - US Multifamily'!$A$2:$A$34,0))-INDEX('Costar - US Multifamily'!$F$2:$F$34,MATCH($A5,'Costar - US Multifamily'!$A$2:$A$34,0))</f>
        <v>-0.0020593283264595</v>
      </c>
      <c r="AA5" s="9" t="n">
        <f aca="false">INDEX('Costar - US Multifamily'!$H$2:$H$34,MATCH($A5,'Costar - US Multifamily'!$A$2:$A$34,0))</f>
        <v>1413.54736229744</v>
      </c>
      <c r="AB5" s="19" t="n">
        <f aca="false">1-INDEX('Costar - US Multifamily'!$F$2:$F$34,MATCH($A5,'Costar - US Multifamily'!$A$2:$A$34,0))</f>
        <v>0.931740924330767</v>
      </c>
      <c r="AC5" s="18" t="n">
        <f aca="false">AC4*(1+Y5)</f>
        <v>101.91307</v>
      </c>
    </row>
    <row r="6" customFormat="false" ht="15" hidden="false" customHeight="true" outlineLevel="0" collapsed="false">
      <c r="A6" s="2" t="n">
        <v>2018</v>
      </c>
      <c r="B6" s="13" t="n">
        <f aca="false">INDEX(Composite!$Z$8:$Z$17,MATCH($A6,Composite!$A$8:$A$17,0))</f>
        <v>0.0549566653833778</v>
      </c>
      <c r="C6" s="13" t="n">
        <f aca="false">INDEX(Composite!$Y$8:$Y$17,MATCH($A6,Composite!$A$8:$A$17,0))</f>
        <v>0.0269</v>
      </c>
      <c r="D6" s="13" t="n">
        <f aca="false">B6-C6</f>
        <v>0.0280566653833778</v>
      </c>
      <c r="E6" s="13" t="n">
        <f aca="false">INDEX(Composite!$AA$8:$AA$17,MATCH($A6,Composite!$A$8:$A$17,0))</f>
        <v>0.0621036097792141</v>
      </c>
      <c r="F6" s="13" t="n">
        <f aca="false">E6-B6</f>
        <v>0.00714694439583632</v>
      </c>
      <c r="G6" s="13" t="n">
        <f aca="false">INDEX('Costar - US Multifamily'!$F$2:$F$34,MATCH($A6,'Costar - US Multifamily'!$A$2:$A$34,0))</f>
        <v>0.0657917059913334</v>
      </c>
      <c r="H6" s="13" t="n">
        <f aca="false">INDEX('Costar - US Multifamily'!$I$2:$I$34,MATCH($A6,'Costar - US Multifamily'!$A$2:$A$34,0))</f>
        <v>0.0295746844416102</v>
      </c>
      <c r="I6" s="13" t="n">
        <f aca="false">INDEX('Costar - US Multifamily'!$C$2:$C$34,MATCH($A6,'Costar - US Multifamily'!$A$2:$A$34,0))/INDEX('Costar - US Multifamily'!$B$2:$B$34,MATCH($A6,'Costar - US Multifamily'!$A$2:$A$34,0))</f>
        <v>0.0215124978650679</v>
      </c>
      <c r="J6" s="18" t="n">
        <f aca="false">INDEX(Composite!$AB$8:$AB$17,MATCH($A6,Composite!$A$8:$A$17,0))</f>
        <v>18.196154970903</v>
      </c>
      <c r="K6" s="18" t="n">
        <f aca="false">INDEX(Composite!$AC$8:$AC$17,MATCH($A6,Composite!$A$8:$A$17,0))</f>
        <v>16.1021235891943</v>
      </c>
      <c r="L6" s="9" t="n">
        <f aca="false">INDEX(Composite!$B$8:$B$17,MATCH($A6,Composite!$A$8:$A$17,0))</f>
        <v>1203.51944197578</v>
      </c>
      <c r="M6" s="9" t="n">
        <f aca="false">INDEX(Composite!$Q$8:$Q$17,MATCH($A6,Composite!$A$8:$A$17,0))</f>
        <v>21899.426276686</v>
      </c>
      <c r="N6" s="9" t="n">
        <f aca="false">INDEX(Composite!$D$8:$D$17,MATCH($A6,Composite!$A$8:$A$17,0))</f>
        <v>1021.97963058592</v>
      </c>
      <c r="O6" s="9" t="n">
        <f aca="false">INDEX(Composite!$K$8:$K$17,MATCH($A6,Composite!$A$8:$A$17,0))</f>
        <v>16456.0423173336</v>
      </c>
      <c r="P6" s="13" t="n">
        <f aca="false">INDEX('Prime Rate'!$B$2:$B$13,MATCH($A6,'Prime Rate'!$A$2:$A$13,0))/100</f>
        <v>0.049</v>
      </c>
      <c r="Q6" s="9" t="n">
        <f aca="false">M6-L6</f>
        <v>20695.9068347102</v>
      </c>
      <c r="R6" s="9" t="n">
        <f aca="false">O6-N6</f>
        <v>15434.0626867476</v>
      </c>
      <c r="S6" s="13" t="n">
        <f aca="false">INDEX(Inflation!$G$4:$G$21,MATCH($A6,Inflation!$A$4:$A$21,0))</f>
        <v>0.0243920349541655</v>
      </c>
      <c r="T6" s="13" t="n">
        <f aca="false">INDEX('Green Street National'!$D$4:$D$18,MATCH($A6,'Green Street National'!$A$4:$A$18,0))</f>
        <v>0.04923149</v>
      </c>
      <c r="U6" s="18" t="n">
        <f aca="false">INDEX('Green Street National'!$F$4:$F$18,MATCH($A6,'Green Street National'!$A$4:$A$18,0))</f>
        <v>105.350134707176</v>
      </c>
      <c r="V6" s="18" t="n">
        <f aca="false">INDEX(Inflation!$D$4:$D$21,MATCH($A6,Inflation!$A$4:$A$21,0))</f>
        <v>106.491690421126</v>
      </c>
      <c r="W6" s="18" t="n">
        <f aca="false">INDEX(Inflation!$E$4:$E$21,MATCH($A6,Inflation!$A$4:$A$21,0))</f>
        <v>104.622820357909</v>
      </c>
      <c r="X6" s="18" t="n">
        <f aca="false">INDEX('Costar - US Multifamily'!$H$2:$H$34,MATCH($A6,'Costar - US Multifamily'!$A$2:$A$34,0))/INDEX('Costar - US Multifamily'!$H$2:$H$34,MATCH(2016,'Costar - US Multifamily'!$A$2:$A$34,0))*100</f>
        <v>105.738736554474</v>
      </c>
      <c r="Y6" s="13" t="n">
        <f aca="false">INDEX('Green Street National'!$C$4:$C$18,MATCH($A6,'Green Street National'!$A$4:$A$18,0))</f>
        <v>0.03557689</v>
      </c>
      <c r="Z6" s="13" t="n">
        <f aca="false">INDEX('Costar - US Multifamily'!$F$2:$F$34,MATCH($A6-1,'Costar - US Multifamily'!$A$2:$A$34,0))-INDEX('Costar - US Multifamily'!$F$2:$F$34,MATCH($A6,'Costar - US Multifamily'!$A$2:$A$34,0))</f>
        <v>0.0024673696778995</v>
      </c>
      <c r="AA6" s="9" t="n">
        <f aca="false">INDEX('Costar - US Multifamily'!$H$2:$H$34,MATCH($A6,'Costar - US Multifamily'!$A$2:$A$34,0))</f>
        <v>1455.35257948066</v>
      </c>
      <c r="AB6" s="19" t="n">
        <f aca="false">1-INDEX('Costar - US Multifamily'!$F$2:$F$34,MATCH($A6,'Costar - US Multifamily'!$A$2:$A$34,0))</f>
        <v>0.934208294008667</v>
      </c>
      <c r="AC6" s="18" t="n">
        <f aca="false">AC5*(1+Y6)</f>
        <v>105.538820080952</v>
      </c>
    </row>
    <row r="7" customFormat="false" ht="15" hidden="false" customHeight="true" outlineLevel="0" collapsed="false">
      <c r="A7" s="2" t="n">
        <v>2019</v>
      </c>
      <c r="B7" s="13" t="n">
        <f aca="false">INDEX(Composite!$Z$8:$Z$17,MATCH($A7,Composite!$A$8:$A$17,0))</f>
        <v>0.0476441886792879</v>
      </c>
      <c r="C7" s="13" t="n">
        <f aca="false">INDEX(Composite!$Y$8:$Y$17,MATCH($A7,Composite!$A$8:$A$17,0))</f>
        <v>0.0192</v>
      </c>
      <c r="D7" s="13" t="n">
        <f aca="false">B7-C7</f>
        <v>0.0284441886792879</v>
      </c>
      <c r="E7" s="13" t="n">
        <f aca="false">INDEX(Composite!$AA$8:$AA$17,MATCH($A7,Composite!$A$8:$A$17,0))</f>
        <v>0.0520250410822651</v>
      </c>
      <c r="F7" s="13" t="n">
        <f aca="false">E7-B7</f>
        <v>0.0043808524029772</v>
      </c>
      <c r="G7" s="13" t="n">
        <f aca="false">INDEX('Costar - US Multifamily'!$F$2:$F$34,MATCH($A7,'Costar - US Multifamily'!$A$2:$A$34,0))</f>
        <v>0.0660913728926952</v>
      </c>
      <c r="H7" s="13" t="n">
        <f aca="false">INDEX('Costar - US Multifamily'!$I$2:$I$34,MATCH($A7,'Costar - US Multifamily'!$A$2:$A$34,0))</f>
        <v>0.0255336196070635</v>
      </c>
      <c r="I7" s="13" t="n">
        <f aca="false">INDEX('Costar - US Multifamily'!$C$2:$C$34,MATCH($A7,'Costar - US Multifamily'!$A$2:$A$34,0))/INDEX('Costar - US Multifamily'!$B$2:$B$34,MATCH($A7,'Costar - US Multifamily'!$A$2:$A$34,0))</f>
        <v>0.0212600170808678</v>
      </c>
      <c r="J7" s="18" t="n">
        <f aca="false">INDEX(Composite!$AB$8:$AB$17,MATCH($A7,Composite!$A$8:$A$17,0))</f>
        <v>20.9889186429724</v>
      </c>
      <c r="K7" s="18" t="n">
        <f aca="false">INDEX(Composite!$AC$8:$AC$17,MATCH($A7,Composite!$A$8:$A$17,0))</f>
        <v>19.2215129329497</v>
      </c>
      <c r="L7" s="9" t="n">
        <f aca="false">INDEX(Composite!$B$8:$B$17,MATCH($A7,Composite!$A$8:$A$17,0))</f>
        <v>1271.60546008899</v>
      </c>
      <c r="M7" s="9" t="n">
        <f aca="false">INDEX(Composite!$Q$8:$Q$17,MATCH($A7,Composite!$A$8:$A$17,0))</f>
        <v>26689.6235477673</v>
      </c>
      <c r="N7" s="9" t="n">
        <f aca="false">INDEX(Composite!$D$8:$D$17,MATCH($A7,Composite!$A$8:$A$17,0))</f>
        <v>1097.92543058484</v>
      </c>
      <c r="O7" s="9" t="n">
        <f aca="false">INDEX(Composite!$K$8:$K$17,MATCH($A7,Composite!$A$8:$A$17,0))</f>
        <v>21103.7878634008</v>
      </c>
      <c r="P7" s="13" t="n">
        <f aca="false">INDEX('Prime Rate'!$B$2:$B$13,MATCH($A7,'Prime Rate'!$A$2:$A$13,0))/100</f>
        <v>0.0528</v>
      </c>
      <c r="Q7" s="9" t="n">
        <f aca="false">M7-L7</f>
        <v>25418.0180876783</v>
      </c>
      <c r="R7" s="9" t="n">
        <f aca="false">O7-N7</f>
        <v>20005.862432816</v>
      </c>
      <c r="S7" s="13" t="n">
        <f aca="false">INDEX(Inflation!$G$4:$G$21,MATCH($A7,Inflation!$A$4:$A$21,0))</f>
        <v>0.0181322182397452</v>
      </c>
      <c r="T7" s="13" t="n">
        <f aca="false">INDEX('Green Street National'!$D$4:$D$18,MATCH($A7,'Green Street National'!$A$4:$A$18,0))</f>
        <v>0.0475775</v>
      </c>
      <c r="U7" s="18" t="n">
        <f aca="false">INDEX('Green Street National'!$F$4:$F$18,MATCH($A7,'Green Street National'!$A$4:$A$18,0))</f>
        <v>111.012161577111</v>
      </c>
      <c r="V7" s="18" t="n">
        <f aca="false">INDEX(Inflation!$D$4:$D$21,MATCH($A7,Inflation!$A$4:$A$21,0))</f>
        <v>111.952526936661</v>
      </c>
      <c r="W7" s="18" t="n">
        <f aca="false">INDEX(Inflation!$E$4:$E$21,MATCH($A7,Inflation!$A$4:$A$21,0))</f>
        <v>106.519864169496</v>
      </c>
      <c r="X7" s="18" t="n">
        <f aca="false">INDEX('Costar - US Multifamily'!$H$2:$H$34,MATCH($A7,'Costar - US Multifamily'!$A$2:$A$34,0))/INDEX('Costar - US Multifamily'!$H$2:$H$34,MATCH(2016,'Costar - US Multifamily'!$A$2:$A$34,0))*100</f>
        <v>108.438629231387</v>
      </c>
      <c r="Y7" s="13" t="n">
        <f aca="false">INDEX('Green Street National'!$C$4:$C$18,MATCH($A7,'Green Street National'!$A$4:$A$18,0))</f>
        <v>0.02837623</v>
      </c>
      <c r="Z7" s="13" t="n">
        <f aca="false">INDEX('Costar - US Multifamily'!$F$2:$F$34,MATCH($A7-1,'Costar - US Multifamily'!$A$2:$A$34,0))-INDEX('Costar - US Multifamily'!$F$2:$F$34,MATCH($A7,'Costar - US Multifamily'!$A$2:$A$34,0))</f>
        <v>-0.000299666901361809</v>
      </c>
      <c r="AA7" s="9" t="n">
        <f aca="false">INDEX('Costar - US Multifamily'!$H$2:$H$34,MATCH($A7,'Costar - US Multifamily'!$A$2:$A$34,0))</f>
        <v>1492.51299863927</v>
      </c>
      <c r="AB7" s="19" t="n">
        <f aca="false">1-INDEX('Costar - US Multifamily'!$F$2:$F$34,MATCH($A7,'Costar - US Multifamily'!$A$2:$A$34,0))</f>
        <v>0.933908627107305</v>
      </c>
      <c r="AC7" s="18" t="n">
        <f aca="false">AC6*(1+Y7)</f>
        <v>108.533613913498</v>
      </c>
    </row>
    <row r="8" customFormat="false" ht="15" hidden="false" customHeight="true" outlineLevel="0" collapsed="false">
      <c r="A8" s="2" t="n">
        <v>2020</v>
      </c>
      <c r="B8" s="13" t="n">
        <f aca="false">INDEX(Composite!$Z$8:$Z$17,MATCH($A8,Composite!$A$8:$A$17,0))</f>
        <v>0.053379833681509</v>
      </c>
      <c r="C8" s="13" t="n">
        <f aca="false">INDEX(Composite!$Y$8:$Y$17,MATCH($A8,Composite!$A$8:$A$17,0))</f>
        <v>0.0093</v>
      </c>
      <c r="D8" s="13" t="n">
        <f aca="false">B8-C8</f>
        <v>0.0440798336815089</v>
      </c>
      <c r="E8" s="13" t="n">
        <f aca="false">INDEX(Composite!$AA$8:$AA$17,MATCH($A8,Composite!$A$8:$A$17,0))</f>
        <v>0.0612040128153835</v>
      </c>
      <c r="F8" s="13" t="n">
        <f aca="false">E8-B8</f>
        <v>0.00782417913387459</v>
      </c>
      <c r="G8" s="13" t="n">
        <f aca="false">INDEX('Costar - US Multifamily'!$F$2:$F$34,MATCH($A8,'Costar - US Multifamily'!$A$2:$A$34,0))</f>
        <v>0.0677560986856392</v>
      </c>
      <c r="H8" s="13" t="n">
        <f aca="false">INDEX('Costar - US Multifamily'!$I$2:$I$34,MATCH($A8,'Costar - US Multifamily'!$A$2:$A$34,0))</f>
        <v>0.0150876939891963</v>
      </c>
      <c r="I8" s="13" t="n">
        <f aca="false">INDEX('Costar - US Multifamily'!$C$2:$C$34,MATCH($A8,'Costar - US Multifamily'!$A$2:$A$34,0))/INDEX('Costar - US Multifamily'!$B$2:$B$34,MATCH($A8,'Costar - US Multifamily'!$A$2:$A$34,0))</f>
        <v>0.0253586058325992</v>
      </c>
      <c r="J8" s="18" t="n">
        <f aca="false">INDEX(Composite!$AB$8:$AB$17,MATCH($A8,Composite!$A$8:$A$17,0))</f>
        <v>18.7336664622544</v>
      </c>
      <c r="K8" s="18" t="n">
        <f aca="false">INDEX(Composite!$AC$8:$AC$17,MATCH($A8,Composite!$A$8:$A$17,0))</f>
        <v>16.338797964382</v>
      </c>
      <c r="L8" s="9" t="n">
        <f aca="false">INDEX(Composite!$B$8:$B$17,MATCH($A8,Composite!$A$8:$A$17,0))</f>
        <v>1197.96462836029</v>
      </c>
      <c r="M8" s="9" t="n">
        <f aca="false">INDEX(Composite!$Q$8:$Q$17,MATCH($A8,Composite!$A$8:$A$17,0))</f>
        <v>22442.2697812802</v>
      </c>
      <c r="N8" s="9" t="n">
        <f aca="false">INDEX(Composite!$D$8:$D$17,MATCH($A8,Composite!$A$8:$A$17,0))</f>
        <v>1024.21006383456</v>
      </c>
      <c r="O8" s="9" t="n">
        <f aca="false">INDEX(Composite!$K$8:$K$17,MATCH($A8,Composite!$A$8:$A$17,0))</f>
        <v>16734.3613060797</v>
      </c>
      <c r="P8" s="13" t="n">
        <f aca="false">INDEX('Prime Rate'!$B$2:$B$13,MATCH($A8,'Prime Rate'!$A$2:$A$13,0))/100</f>
        <v>0.0354</v>
      </c>
      <c r="Q8" s="9" t="n">
        <f aca="false">M8-L8</f>
        <v>21244.3051529199</v>
      </c>
      <c r="R8" s="9" t="n">
        <f aca="false">O8-N8</f>
        <v>15710.1512422452</v>
      </c>
      <c r="S8" s="13" t="n">
        <f aca="false">INDEX(Inflation!$G$4:$G$21,MATCH($A8,Inflation!$A$4:$A$21,0))</f>
        <v>0.0125287010127009</v>
      </c>
      <c r="T8" s="13" t="n">
        <f aca="false">INDEX('Green Street National'!$D$4:$D$18,MATCH($A8,'Green Street National'!$A$4:$A$18,0))</f>
        <v>0.04376953</v>
      </c>
      <c r="U8" s="18" t="n">
        <f aca="false">INDEX('Green Street National'!$F$4:$F$18,MATCH($A8,'Green Street National'!$A$4:$A$18,0))</f>
        <v>112.840426236934</v>
      </c>
      <c r="V8" s="18" t="n">
        <f aca="false">INDEX(Inflation!$D$4:$D$21,MATCH($A8,Inflation!$A$4:$A$21,0))</f>
        <v>114.716111798347</v>
      </c>
      <c r="W8" s="18" t="n">
        <f aca="false">INDEX(Inflation!$E$4:$E$21,MATCH($A8,Inflation!$A$4:$A$21,0))</f>
        <v>107.85441969959</v>
      </c>
      <c r="X8" s="18" t="n">
        <f aca="false">INDEX('Costar - US Multifamily'!$H$2:$H$34,MATCH($A8,'Costar - US Multifamily'!$A$2:$A$34,0))/INDEX('Costar - US Multifamily'!$H$2:$H$34,MATCH(2016,'Costar - US Multifamily'!$A$2:$A$34,0))*100</f>
        <v>110.074718085838</v>
      </c>
      <c r="Y8" s="13" t="n">
        <f aca="false">INDEX('Green Street National'!$C$4:$C$18,MATCH($A8,'Green Street National'!$A$4:$A$18,0))</f>
        <v>-0.01726645</v>
      </c>
      <c r="Z8" s="13" t="n">
        <f aca="false">INDEX('Costar - US Multifamily'!$F$2:$F$34,MATCH($A8-1,'Costar - US Multifamily'!$A$2:$A$34,0))-INDEX('Costar - US Multifamily'!$F$2:$F$34,MATCH($A8,'Costar - US Multifamily'!$A$2:$A$34,0))</f>
        <v>-0.00166472579294399</v>
      </c>
      <c r="AA8" s="9" t="n">
        <f aca="false">INDEX('Costar - US Multifamily'!$H$2:$H$34,MATCH($A8,'Costar - US Multifamily'!$A$2:$A$34,0))</f>
        <v>1515.03157803764</v>
      </c>
      <c r="AB8" s="19" t="n">
        <f aca="false">1-INDEX('Costar - US Multifamily'!$F$2:$F$34,MATCH($A8,'Costar - US Multifamily'!$A$2:$A$34,0))</f>
        <v>0.932243901314361</v>
      </c>
      <c r="AC8" s="18" t="n">
        <f aca="false">AC7*(1+Y8)</f>
        <v>106.659623695541</v>
      </c>
    </row>
    <row r="9" customFormat="false" ht="15" hidden="false" customHeight="true" outlineLevel="0" collapsed="false">
      <c r="A9" s="2" t="n">
        <v>2021</v>
      </c>
      <c r="B9" s="13" t="n">
        <f aca="false">INDEX(Composite!$Z$8:$Z$17,MATCH($A9,Composite!$A$8:$A$17,0))</f>
        <v>0.0351771600596491</v>
      </c>
      <c r="C9" s="13" t="n">
        <f aca="false">INDEX(Composite!$Y$8:$Y$17,MATCH($A9,Composite!$A$8:$A$17,0))</f>
        <v>0.0152</v>
      </c>
      <c r="D9" s="13" t="n">
        <f aca="false">B9-C9</f>
        <v>0.0199771600596491</v>
      </c>
      <c r="E9" s="13" t="n">
        <f aca="false">INDEX(Composite!$AA$8:$AA$17,MATCH($A9,Composite!$A$8:$A$17,0))</f>
        <v>0.0363442704688143</v>
      </c>
      <c r="F9" s="13" t="n">
        <f aca="false">E9-B9</f>
        <v>0.00116711040916514</v>
      </c>
      <c r="G9" s="13" t="n">
        <f aca="false">INDEX('Costar - US Multifamily'!$F$2:$F$34,MATCH($A9,'Costar - US Multifamily'!$A$2:$A$34,0))</f>
        <v>0.0511618903179478</v>
      </c>
      <c r="H9" s="13" t="n">
        <f aca="false">INDEX('Costar - US Multifamily'!$I$2:$I$34,MATCH($A9,'Costar - US Multifamily'!$A$2:$A$34,0))</f>
        <v>0.0881649323336352</v>
      </c>
      <c r="I9" s="13" t="n">
        <f aca="false">INDEX('Costar - US Multifamily'!$C$2:$C$34,MATCH($A9,'Costar - US Multifamily'!$A$2:$A$34,0))/INDEX('Costar - US Multifamily'!$B$2:$B$34,MATCH($A9,'Costar - US Multifamily'!$A$2:$A$34,0))</f>
        <v>0.022677567628092</v>
      </c>
      <c r="J9" s="18" t="n">
        <f aca="false">INDEX(Composite!$AB$8:$AB$17,MATCH($A9,Composite!$A$8:$A$17,0))</f>
        <v>28.4275364555957</v>
      </c>
      <c r="K9" s="18" t="n">
        <f aca="false">INDEX(Composite!$AC$8:$AC$17,MATCH($A9,Composite!$A$8:$A$17,0))</f>
        <v>27.5146532617312</v>
      </c>
      <c r="L9" s="9" t="n">
        <f aca="false">INDEX(Composite!$B$8:$B$17,MATCH($A9,Composite!$A$8:$A$17,0))</f>
        <v>1201.06717894722</v>
      </c>
      <c r="M9" s="9" t="n">
        <f aca="false">INDEX(Composite!$Q$8:$Q$17,MATCH($A9,Composite!$A$8:$A$17,0))</f>
        <v>34143.3810151415</v>
      </c>
      <c r="N9" s="9" t="n">
        <f aca="false">INDEX(Composite!$D$8:$D$17,MATCH($A9,Composite!$A$8:$A$17,0))</f>
        <v>1029.58932373031</v>
      </c>
      <c r="O9" s="9" t="n">
        <f aca="false">INDEX(Composite!$K$8:$K$17,MATCH($A9,Composite!$A$8:$A$17,0))</f>
        <v>28328.7932444198</v>
      </c>
      <c r="P9" s="13" t="n">
        <f aca="false">INDEX('Prime Rate'!$B$2:$B$13,MATCH($A9,'Prime Rate'!$A$2:$A$13,0))/100</f>
        <v>0.0325</v>
      </c>
      <c r="Q9" s="9" t="n">
        <f aca="false">M9-L9</f>
        <v>32942.3138361943</v>
      </c>
      <c r="R9" s="9" t="n">
        <f aca="false">O9-N9</f>
        <v>27299.2039206895</v>
      </c>
      <c r="S9" s="13" t="n">
        <f aca="false">INDEX(Inflation!$G$4:$G$21,MATCH($A9,Inflation!$A$4:$A$21,0))</f>
        <v>0.0468098093148315</v>
      </c>
      <c r="T9" s="13" t="n">
        <f aca="false">INDEX('Green Street National'!$D$4:$D$18,MATCH($A9,'Green Street National'!$A$4:$A$18,0))</f>
        <v>0.03788439</v>
      </c>
      <c r="U9" s="18" t="n">
        <f aca="false">INDEX('Green Street National'!$F$4:$F$18,MATCH($A9,'Green Street National'!$A$4:$A$18,0))</f>
        <v>148.305287254741</v>
      </c>
      <c r="V9" s="18" t="n">
        <f aca="false">INDEX(Inflation!$D$4:$D$21,MATCH($A9,Inflation!$A$4:$A$21,0))</f>
        <v>120.671758188566</v>
      </c>
      <c r="W9" s="18" t="n">
        <f aca="false">INDEX(Inflation!$E$4:$E$21,MATCH($A9,Inflation!$A$4:$A$21,0))</f>
        <v>112.903064519489</v>
      </c>
      <c r="X9" s="18" t="n">
        <f aca="false">INDEX('Costar - US Multifamily'!$H$2:$H$34,MATCH($A9,'Costar - US Multifamily'!$A$2:$A$34,0))/INDEX('Costar - US Multifamily'!$H$2:$H$34,MATCH(2016,'Costar - US Multifamily'!$A$2:$A$34,0))*100</f>
        <v>119.77944815752</v>
      </c>
      <c r="Y9" s="13" t="n">
        <f aca="false">INDEX('Green Street National'!$C$4:$C$18,MATCH($A9,'Green Street National'!$A$4:$A$18,0))</f>
        <v>0.15341472</v>
      </c>
      <c r="Z9" s="13" t="n">
        <f aca="false">INDEX('Costar - US Multifamily'!$F$2:$F$34,MATCH($A9-1,'Costar - US Multifamily'!$A$2:$A$34,0))-INDEX('Costar - US Multifamily'!$F$2:$F$34,MATCH($A9,'Costar - US Multifamily'!$A$2:$A$34,0))</f>
        <v>0.0165942083676914</v>
      </c>
      <c r="AA9" s="9" t="n">
        <f aca="false">INDEX('Costar - US Multifamily'!$H$2:$H$34,MATCH($A9,'Costar - US Multifamily'!$A$2:$A$34,0))</f>
        <v>1648.60423459865</v>
      </c>
      <c r="AB9" s="19" t="n">
        <f aca="false">1-INDEX('Costar - US Multifamily'!$F$2:$F$34,MATCH($A9,'Costar - US Multifamily'!$A$2:$A$34,0))</f>
        <v>0.948838109682052</v>
      </c>
      <c r="AC9" s="18" t="n">
        <f aca="false">AC8*(1+Y9)</f>
        <v>123.022780000098</v>
      </c>
    </row>
    <row r="10" customFormat="false" ht="15" hidden="false" customHeight="true" outlineLevel="0" collapsed="false">
      <c r="A10" s="2" t="n">
        <v>2022</v>
      </c>
      <c r="B10" s="13" t="n">
        <f aca="false">INDEX(Composite!$Z$8:$Z$17,MATCH($A10,Composite!$A$8:$A$17,0))</f>
        <v>0.0588022006592292</v>
      </c>
      <c r="C10" s="13" t="n">
        <f aca="false">INDEX(Composite!$Y$8:$Y$17,MATCH($A10,Composite!$A$8:$A$17,0))</f>
        <v>0.0388</v>
      </c>
      <c r="D10" s="13" t="n">
        <f aca="false">B10-C10</f>
        <v>0.0200022006592292</v>
      </c>
      <c r="E10" s="13" t="n">
        <f aca="false">INDEX(Composite!$AA$8:$AA$17,MATCH($A10,Composite!$A$8:$A$17,0))</f>
        <v>0.0683284753116141</v>
      </c>
      <c r="F10" s="13" t="n">
        <f aca="false">E10-B10</f>
        <v>0.00952627465238497</v>
      </c>
      <c r="G10" s="13" t="n">
        <f aca="false">INDEX('Costar - US Multifamily'!$F$2:$F$34,MATCH($A10,'Costar - US Multifamily'!$A$2:$A$34,0))</f>
        <v>0.0659326534476428</v>
      </c>
      <c r="H10" s="13" t="n">
        <f aca="false">INDEX('Costar - US Multifamily'!$I$2:$I$34,MATCH($A10,'Costar - US Multifamily'!$A$2:$A$34,0))</f>
        <v>0.0401127220010312</v>
      </c>
      <c r="I10" s="13" t="n">
        <f aca="false">INDEX('Costar - US Multifamily'!$C$2:$C$34,MATCH($A10,'Costar - US Multifamily'!$A$2:$A$34,0))/INDEX('Costar - US Multifamily'!$B$2:$B$34,MATCH($A10,'Costar - US Multifamily'!$A$2:$A$34,0))</f>
        <v>0.0235067606934977</v>
      </c>
      <c r="J10" s="18" t="n">
        <f aca="false">INDEX(Composite!$AB$8:$AB$17,MATCH($A10,Composite!$A$8:$A$17,0))</f>
        <v>17.0061662452942</v>
      </c>
      <c r="K10" s="18" t="n">
        <f aca="false">INDEX(Composite!$AC$8:$AC$17,MATCH($A10,Composite!$A$8:$A$17,0))</f>
        <v>14.6351868008099</v>
      </c>
      <c r="L10" s="9" t="n">
        <f aca="false">INDEX(Composite!$B$8:$B$17,MATCH($A10,Composite!$A$8:$A$17,0))</f>
        <v>1416.78204231254</v>
      </c>
      <c r="M10" s="9" t="n">
        <f aca="false">INDEX(Composite!$Q$8:$Q$17,MATCH($A10,Composite!$A$8:$A$17,0))</f>
        <v>24094.0309449146</v>
      </c>
      <c r="N10" s="9" t="n">
        <f aca="false">INDEX(Composite!$D$8:$D$17,MATCH($A10,Composite!$A$8:$A$17,0))</f>
        <v>1238.52100107325</v>
      </c>
      <c r="O10" s="9" t="n">
        <f aca="false">INDEX(Composite!$K$8:$K$17,MATCH($A10,Composite!$A$8:$A$17,0))</f>
        <v>18125.9862074331</v>
      </c>
      <c r="P10" s="13" t="n">
        <f aca="false">INDEX('Prime Rate'!$B$2:$B$13,MATCH($A10,'Prime Rate'!$A$2:$A$13,0))/100</f>
        <v>0.0485</v>
      </c>
      <c r="Q10" s="9" t="n">
        <f aca="false">M10-L10</f>
        <v>22677.248902602</v>
      </c>
      <c r="R10" s="9" t="n">
        <f aca="false">O10-N10</f>
        <v>16887.4652063599</v>
      </c>
      <c r="S10" s="13" t="n">
        <f aca="false">INDEX(Inflation!$G$4:$G$21,MATCH($A10,Inflation!$A$4:$A$21,0))</f>
        <v>0.0799083303502561</v>
      </c>
      <c r="T10" s="13" t="n">
        <f aca="false">INDEX('Green Street National'!$D$4:$D$18,MATCH($A10,'Green Street National'!$A$4:$A$18,0))</f>
        <v>0.05048362</v>
      </c>
      <c r="U10" s="18" t="n">
        <f aca="false">INDEX('Green Street National'!$F$4:$F$18,MATCH($A10,'Green Street National'!$A$4:$A$18,0))</f>
        <v>112.259083245291</v>
      </c>
      <c r="V10" s="18" t="n">
        <f aca="false">INDEX(Inflation!$D$4:$D$21,MATCH($A10,Inflation!$A$4:$A$21,0))</f>
        <v>144.713064056365</v>
      </c>
      <c r="W10" s="18" t="n">
        <f aca="false">INDEX(Inflation!$E$4:$E$21,MATCH($A10,Inflation!$A$4:$A$21,0))</f>
        <v>121.924959896669</v>
      </c>
      <c r="X10" s="18" t="n">
        <f aca="false">INDEX('Costar - US Multifamily'!$H$2:$H$34,MATCH($A10,'Costar - US Multifamily'!$A$2:$A$34,0))/INDEX('Costar - US Multifamily'!$H$2:$H$34,MATCH(2016,'Costar - US Multifamily'!$A$2:$A$34,0))*100</f>
        <v>124.5841278629</v>
      </c>
      <c r="Y10" s="13" t="n">
        <f aca="false">INDEX('Green Street National'!$C$4:$C$18,MATCH($A10,'Green Street National'!$A$4:$A$18,0))</f>
        <v>0.04550639</v>
      </c>
      <c r="Z10" s="13" t="n">
        <f aca="false">INDEX('Costar - US Multifamily'!$F$2:$F$34,MATCH($A10-1,'Costar - US Multifamily'!$A$2:$A$34,0))-INDEX('Costar - US Multifamily'!$F$2:$F$34,MATCH($A10,'Costar - US Multifamily'!$A$2:$A$34,0))</f>
        <v>-0.014770763129695</v>
      </c>
      <c r="AA10" s="9" t="n">
        <f aca="false">INDEX('Costar - US Multifamily'!$H$2:$H$34,MATCH($A10,'Costar - US Multifamily'!$A$2:$A$34,0))</f>
        <v>1714.73423795083</v>
      </c>
      <c r="AB10" s="19" t="n">
        <f aca="false">1-INDEX('Costar - US Multifamily'!$F$2:$F$34,MATCH($A10,'Costar - US Multifamily'!$A$2:$A$34,0))</f>
        <v>0.934067346552357</v>
      </c>
      <c r="AC10" s="18" t="n">
        <f aca="false">AC9*(1+Y10)</f>
        <v>128.621102605667</v>
      </c>
    </row>
    <row r="11" customFormat="false" ht="15" hidden="false" customHeight="true" outlineLevel="0" collapsed="false">
      <c r="A11" s="2" t="n">
        <v>2023</v>
      </c>
      <c r="B11" s="13" t="n">
        <f aca="false">INDEX(Composite!$Z$8:$Z$17,MATCH($A11,Composite!$A$8:$A$17,0))</f>
        <v>0.0612203183927941</v>
      </c>
      <c r="C11" s="13" t="n">
        <f aca="false">INDEX(Composite!$Y$8:$Y$17,MATCH($A11,Composite!$A$8:$A$17,0))</f>
        <v>0.0388</v>
      </c>
      <c r="D11" s="13" t="n">
        <f aca="false">B11-C11</f>
        <v>0.0224203183927941</v>
      </c>
      <c r="E11" s="13" t="n">
        <f aca="false">INDEX(Composite!$AA$8:$AA$17,MATCH($A11,Composite!$A$8:$A$17,0))</f>
        <v>0.0715139340938936</v>
      </c>
      <c r="F11" s="13" t="n">
        <f aca="false">E11-B11</f>
        <v>0.0102936157010995</v>
      </c>
      <c r="G11" s="13" t="n">
        <f aca="false">INDEX('Costar - US Multifamily'!$F$2:$F$34,MATCH($A11,'Costar - US Multifamily'!$A$2:$A$34,0))</f>
        <v>0.0779636683425829</v>
      </c>
      <c r="H11" s="13" t="n">
        <f aca="false">INDEX('Costar - US Multifamily'!$I$2:$I$34,MATCH($A11,'Costar - US Multifamily'!$A$2:$A$34,0))</f>
        <v>0.0130911031748043</v>
      </c>
      <c r="I11" s="13" t="n">
        <f aca="false">INDEX('Costar - US Multifamily'!$C$2:$C$34,MATCH($A11,'Costar - US Multifamily'!$A$2:$A$34,0))/INDEX('Costar - US Multifamily'!$B$2:$B$34,MATCH($A11,'Costar - US Multifamily'!$A$2:$A$34,0))</f>
        <v>0.0306486490814444</v>
      </c>
      <c r="J11" s="18" t="n">
        <f aca="false">INDEX(Composite!$AB$8:$AB$17,MATCH($A11,Composite!$A$8:$A$17,0))</f>
        <v>16.3344462468151</v>
      </c>
      <c r="K11" s="18" t="n">
        <f aca="false">INDEX(Composite!$AC$8:$AC$17,MATCH($A11,Composite!$A$8:$A$17,0))</f>
        <v>13.9832888886669</v>
      </c>
      <c r="L11" s="9" t="n">
        <f aca="false">INDEX(Composite!$B$8:$B$17,MATCH($A11,Composite!$A$8:$A$17,0))</f>
        <v>1547.25989133161</v>
      </c>
      <c r="M11" s="9" t="n">
        <f aca="false">INDEX(Composite!$Q$8:$Q$17,MATCH($A11,Composite!$A$8:$A$17,0))</f>
        <v>25273.6335248091</v>
      </c>
      <c r="N11" s="9" t="n">
        <f aca="false">INDEX(Composite!$D$8:$D$17,MATCH($A11,Composite!$A$8:$A$17,0))</f>
        <v>1373.5277171177</v>
      </c>
      <c r="O11" s="9" t="n">
        <f aca="false">INDEX(Composite!$K$8:$K$17,MATCH($A11,Composite!$A$8:$A$17,0))</f>
        <v>19206.434865048</v>
      </c>
      <c r="P11" s="13" t="n">
        <f aca="false">INDEX('Prime Rate'!$B$2:$B$13,MATCH($A11,'Prime Rate'!$A$2:$A$13,0))/100</f>
        <v>0.0819</v>
      </c>
      <c r="Q11" s="9" t="n">
        <f aca="false">M11-L11</f>
        <v>23726.3736334775</v>
      </c>
      <c r="R11" s="9" t="n">
        <f aca="false">O11-N11</f>
        <v>17832.9071479303</v>
      </c>
      <c r="S11" s="13" t="n">
        <f aca="false">INDEX(Inflation!$G$4:$G$21,MATCH($A11,Inflation!$A$4:$A$21,0))</f>
        <v>0.0412711105643382</v>
      </c>
      <c r="T11" s="13" t="n">
        <f aca="false">INDEX('Green Street National'!$D$4:$D$18,MATCH($A11,'Green Street National'!$A$4:$A$18,0))</f>
        <v>0.05662173</v>
      </c>
      <c r="U11" s="18" t="n">
        <f aca="false">INDEX('Green Street National'!$F$4:$F$18,MATCH($A11,'Green Street National'!$A$4:$A$18,0))</f>
        <v>100.508627067155</v>
      </c>
      <c r="V11" s="18" t="n">
        <f aca="false">INDEX(Inflation!$D$4:$D$21,MATCH($A11,Inflation!$A$4:$A$21,0))</f>
        <v>156.117893831012</v>
      </c>
      <c r="W11" s="18" t="n">
        <f aca="false">INDEX(Inflation!$E$4:$E$21,MATCH($A11,Inflation!$A$4:$A$21,0))</f>
        <v>126.956938397117</v>
      </c>
      <c r="X11" s="18" t="n">
        <f aca="false">INDEX('Costar - US Multifamily'!$H$2:$H$34,MATCH($A11,'Costar - US Multifamily'!$A$2:$A$34,0))/INDEX('Costar - US Multifamily'!$H$2:$H$34,MATCH(2016,'Costar - US Multifamily'!$A$2:$A$34,0))*100</f>
        <v>126.215071534696</v>
      </c>
      <c r="Y11" s="13" t="n">
        <f aca="false">INDEX('Green Street National'!$C$4:$C$18,MATCH($A11,'Green Street National'!$A$4:$A$18,0))</f>
        <v>-0.00280259</v>
      </c>
      <c r="Z11" s="13" t="n">
        <f aca="false">INDEX('Costar - US Multifamily'!$F$2:$F$34,MATCH($A11-1,'Costar - US Multifamily'!$A$2:$A$34,0))-INDEX('Costar - US Multifamily'!$F$2:$F$34,MATCH($A11,'Costar - US Multifamily'!$A$2:$A$34,0))</f>
        <v>-0.0120310148949401</v>
      </c>
      <c r="AA11" s="9" t="n">
        <f aca="false">INDEX('Costar - US Multifamily'!$H$2:$H$34,MATCH($A11,'Costar - US Multifamily'!$A$2:$A$34,0))</f>
        <v>1737.18200077721</v>
      </c>
      <c r="AB11" s="19" t="n">
        <f aca="false">1-INDEX('Costar - US Multifamily'!$F$2:$F$34,MATCH($A11,'Costar - US Multifamily'!$A$2:$A$34,0))</f>
        <v>0.922036331657417</v>
      </c>
      <c r="AC11" s="18" t="n">
        <f aca="false">AC10*(1+Y11)</f>
        <v>128.260630389715</v>
      </c>
    </row>
    <row r="12" customFormat="false" ht="15" hidden="false" customHeight="true" outlineLevel="0" collapsed="false">
      <c r="A12" s="2" t="n">
        <v>2024</v>
      </c>
      <c r="B12" s="13" t="n">
        <f aca="false">INDEX(Composite!$Z$8:$Z$17,MATCH($A12,Composite!$A$8:$A$17,0))</f>
        <v>0.0547401762151181</v>
      </c>
      <c r="C12" s="13" t="n">
        <f aca="false">INDEX(Composite!$Y$8:$Y$17,MATCH($A12,Composite!$A$8:$A$17,0))</f>
        <v>0.0458</v>
      </c>
      <c r="D12" s="13" t="n">
        <f aca="false">B12-C12</f>
        <v>0.00894017621511806</v>
      </c>
      <c r="E12" s="13" t="n">
        <f aca="false">INDEX(Composite!$AA$8:$AA$17,MATCH($A12,Composite!$A$8:$A$17,0))</f>
        <v>0.0613597232374127</v>
      </c>
      <c r="F12" s="13" t="n">
        <f aca="false">E12-B12</f>
        <v>0.00661954702229463</v>
      </c>
      <c r="G12" s="13" t="n">
        <f aca="false">INDEX('Costar - US Multifamily'!$F$2:$F$34,MATCH($A12,'Costar - US Multifamily'!$A$2:$A$34,0))</f>
        <v>0.083232084773644</v>
      </c>
      <c r="H12" s="13" t="n">
        <f aca="false">INDEX('Costar - US Multifamily'!$I$2:$I$34,MATCH($A12,'Costar - US Multifamily'!$A$2:$A$34,0))</f>
        <v>0.0121569826661413</v>
      </c>
      <c r="I12" s="13" t="n">
        <f aca="false">INDEX('Costar - US Multifamily'!$C$2:$C$34,MATCH($A12,'Costar - US Multifamily'!$A$2:$A$34,0))/INDEX('Costar - US Multifamily'!$B$2:$B$34,MATCH($A12,'Costar - US Multifamily'!$A$2:$A$34,0))</f>
        <v>0.0344953335384235</v>
      </c>
      <c r="J12" s="18" t="n">
        <f aca="false">INDEX(Composite!$AB$8:$AB$17,MATCH($A12,Composite!$A$8:$A$17,0))</f>
        <v>18.2681180285244</v>
      </c>
      <c r="K12" s="18" t="n">
        <f aca="false">INDEX(Composite!$AC$8:$AC$17,MATCH($A12,Composite!$A$8:$A$17,0))</f>
        <v>16.2973355686564</v>
      </c>
      <c r="L12" s="9" t="n">
        <f aca="false">INDEX(Composite!$B$8:$B$17,MATCH($A12,Composite!$A$8:$A$17,0))</f>
        <v>1590.45932211514</v>
      </c>
      <c r="M12" s="9" t="n">
        <f aca="false">INDEX(Composite!$Q$8:$Q$17,MATCH($A12,Composite!$A$8:$A$17,0))</f>
        <v>29054.6986159663</v>
      </c>
      <c r="N12" s="9" t="n">
        <f aca="false">INDEX(Composite!$D$8:$D$17,MATCH($A12,Composite!$A$8:$A$17,0))</f>
        <v>1401.13285368712</v>
      </c>
      <c r="O12" s="9" t="n">
        <f aca="false">INDEX(Composite!$K$8:$K$17,MATCH($A12,Composite!$A$8:$A$17,0))</f>
        <v>22834.7322928082</v>
      </c>
      <c r="P12" s="13" t="n">
        <f aca="false">INDEX('Prime Rate'!$B$2:$B$13,MATCH($A12,'Prime Rate'!$A$2:$A$13,0))/100</f>
        <v>0.0831</v>
      </c>
      <c r="Q12" s="9" t="n">
        <f aca="false">M12-L12</f>
        <v>27464.2392938512</v>
      </c>
      <c r="R12" s="9" t="n">
        <f aca="false">O12-N12</f>
        <v>21433.5994391211</v>
      </c>
      <c r="S12" s="13" t="n">
        <f aca="false">INDEX(Inflation!$G$4:$G$21,MATCH($A12,Inflation!$A$4:$A$21,0))</f>
        <v>0.0295205495187116</v>
      </c>
      <c r="T12" s="13" t="n">
        <f aca="false">INDEX('Green Street National'!$D$4:$D$18,MATCH($A12,'Green Street National'!$A$4:$A$18,0))</f>
        <v>0.05208783</v>
      </c>
      <c r="U12" s="18" t="n">
        <f aca="false">INDEX('Green Street National'!$F$4:$F$18,MATCH($A12,'Green Street National'!$A$4:$A$18,0))</f>
        <v>109.137003547425</v>
      </c>
      <c r="V12" s="18" t="n">
        <f aca="false">INDEX(Inflation!$D$4:$D$21,MATCH($A12,Inflation!$A$4:$A$21,0))</f>
        <v>156.281037666505</v>
      </c>
      <c r="W12" s="18" t="n">
        <f aca="false">INDEX(Inflation!$E$4:$E$21,MATCH($A12,Inflation!$A$4:$A$21,0))</f>
        <v>130.704776983813</v>
      </c>
      <c r="X12" s="18" t="n">
        <f aca="false">INDEX('Costar - US Multifamily'!$H$2:$H$34,MATCH($A12,'Costar - US Multifamily'!$A$2:$A$34,0))/INDEX('Costar - US Multifamily'!$H$2:$H$34,MATCH(2016,'Costar - US Multifamily'!$A$2:$A$34,0))*100</f>
        <v>127.749465971549</v>
      </c>
      <c r="Y12" s="13" t="n">
        <f aca="false">INDEX('Green Street National'!$C$4:$C$18,MATCH($A12,'Green Street National'!$A$4:$A$18,0))</f>
        <v>0.0053018</v>
      </c>
      <c r="Z12" s="13" t="n">
        <f aca="false">INDEX('Costar - US Multifamily'!$F$2:$F$34,MATCH($A12-1,'Costar - US Multifamily'!$A$2:$A$34,0))-INDEX('Costar - US Multifamily'!$F$2:$F$34,MATCH($A12,'Costar - US Multifamily'!$A$2:$A$34,0))</f>
        <v>-0.00526841643106109</v>
      </c>
      <c r="AA12" s="9" t="n">
        <f aca="false">INDEX('Costar - US Multifamily'!$H$2:$H$34,MATCH($A12,'Costar - US Multifamily'!$A$2:$A$34,0))</f>
        <v>1758.30089224859</v>
      </c>
      <c r="AB12" s="19" t="n">
        <f aca="false">1-INDEX('Costar - US Multifamily'!$F$2:$F$34,MATCH($A12,'Costar - US Multifamily'!$A$2:$A$34,0))</f>
        <v>0.916767915226356</v>
      </c>
      <c r="AC12" s="18" t="n">
        <f aca="false">AC11*(1+Y12)</f>
        <v>128.940642599915</v>
      </c>
    </row>
    <row r="13" customFormat="false" ht="15" hidden="false" customHeight="true" outlineLevel="0" collapsed="false">
      <c r="A13" s="2" t="n">
        <v>2025</v>
      </c>
      <c r="B13" s="13" t="n">
        <f aca="false">INDEX(Composite!$Z$8:$Z$17,MATCH($A13,Composite!$A$8:$A$17,0))</f>
        <v>0.062011231262277</v>
      </c>
      <c r="C13" s="13" t="n">
        <f aca="false">INDEX(Composite!$Y$8:$Y$17,MATCH($A13,Composite!$A$8:$A$17,0))</f>
        <v>0.0418</v>
      </c>
      <c r="D13" s="13" t="n">
        <f aca="false">B13-C13</f>
        <v>0.020211231262277</v>
      </c>
      <c r="E13" s="13" t="n">
        <f aca="false">INDEX(Composite!$AA$8:$AA$17,MATCH($A13,Composite!$A$8:$A$17,0))</f>
        <v>0.0737357098022622</v>
      </c>
      <c r="F13" s="13" t="n">
        <f aca="false">E13-B13</f>
        <v>0.0117244785399852</v>
      </c>
      <c r="G13" s="13" t="n">
        <f aca="false">INDEX('Costar - US Multifamily'!$F$2:$F$34,MATCH($A13,'Costar - US Multifamily'!$A$2:$A$34,0))</f>
        <v>0.0847075532784309</v>
      </c>
      <c r="H13" s="13" t="n">
        <f aca="false">INDEX('Costar - US Multifamily'!$I$2:$I$34,MATCH($A13,'Costar - US Multifamily'!$A$2:$A$34,0))</f>
        <v>0.0042997106099318</v>
      </c>
      <c r="I13" s="13" t="n">
        <f aca="false">INDEX('Costar - US Multifamily'!$C$2:$C$34,MATCH($A13,'Costar - US Multifamily'!$A$2:$A$34,0))/INDEX('Costar - US Multifamily'!$B$2:$B$34,MATCH($A13,'Costar - US Multifamily'!$A$2:$A$34,0))</f>
        <v>0.0256603251765355</v>
      </c>
      <c r="J13" s="18" t="n">
        <f aca="false">INDEX(Composite!$AB$8:$AB$17,MATCH($A13,Composite!$A$8:$A$17,0))</f>
        <v>16.1261110228644</v>
      </c>
      <c r="K13" s="18" t="n">
        <f aca="false">INDEX(Composite!$AC$8:$AC$17,MATCH($A13,Composite!$A$8:$A$17,0))</f>
        <v>13.5619498704455</v>
      </c>
      <c r="L13" s="9" t="n">
        <f aca="false">INDEX(Composite!$B$8:$B$17,MATCH($A13,Composite!$A$8:$A$17,0))</f>
        <v>1599.86478786863</v>
      </c>
      <c r="M13" s="9" t="n">
        <f aca="false">INDEX(Composite!$Q$8:$Q$17,MATCH($A13,Composite!$A$8:$A$17,0))</f>
        <v>25799.5971907409</v>
      </c>
      <c r="N13" s="9" t="n">
        <f aca="false">INDEX(Composite!$D$8:$D$17,MATCH($A13,Composite!$A$8:$A$17,0))</f>
        <v>1389.81099348876</v>
      </c>
      <c r="O13" s="9" t="n">
        <f aca="false">INDEX(Composite!$K$8:$K$17,MATCH($A13,Composite!$A$8:$A$17,0))</f>
        <v>18848.5470230886</v>
      </c>
      <c r="P13" s="13" t="n">
        <f aca="false">INDEX('Prime Rate'!$B$2:$B$13,MATCH($A13,'Prime Rate'!$A$2:$A$13,0))/100</f>
        <v>0.0737</v>
      </c>
      <c r="Q13" s="9" t="n">
        <f aca="false">M13-L13</f>
        <v>24199.7324028723</v>
      </c>
      <c r="R13" s="9" t="n">
        <f aca="false">O13-N13</f>
        <v>17458.7360295999</v>
      </c>
      <c r="S13" s="13" t="n">
        <f aca="false">INDEX(Inflation!$G$4:$G$21,MATCH($A13,Inflation!$A$4:$A$21,0))</f>
        <v>0.0263438083762091</v>
      </c>
      <c r="T13" s="13" t="n">
        <f aca="false">INDEX('Green Street National'!$D$4:$D$18,MATCH($A13,'Green Street National'!$A$4:$A$18,0))</f>
        <v>0.05229724</v>
      </c>
      <c r="U13" s="18" t="n">
        <f aca="false">INDEX('Green Street National'!$F$4:$F$18,MATCH($A13,'Green Street National'!$A$4:$A$18,0))</f>
        <v>109.052228192995</v>
      </c>
      <c r="V13" s="18" t="n">
        <f aca="false">INDEX(Inflation!$D$4:$D$21,MATCH($A13,Inflation!$A$4:$A$21,0))</f>
        <v>158.821420247763</v>
      </c>
      <c r="W13" s="18" t="n">
        <f aca="false">INDEX(Inflation!$E$4:$E$21,MATCH($A13,Inflation!$A$4:$A$21,0))</f>
        <v>134.14803858253</v>
      </c>
      <c r="X13" s="18" t="n">
        <f aca="false">INDEX('Costar - US Multifamily'!$H$2:$H$34,MATCH($A13,'Costar - US Multifamily'!$A$2:$A$34,0))/INDEX('Costar - US Multifamily'!$H$2:$H$34,MATCH(2016,'Costar - US Multifamily'!$A$2:$A$34,0))*100</f>
        <v>128.2987517058</v>
      </c>
      <c r="Y13" s="13" t="n">
        <f aca="false">INDEX('Green Street National'!$C$4:$C$18,MATCH($A13,'Green Street National'!$A$4:$A$18,0))</f>
        <v>0.003249</v>
      </c>
      <c r="Z13" s="13" t="n">
        <f aca="false">INDEX('Costar - US Multifamily'!$F$2:$F$34,MATCH($A13-1,'Costar - US Multifamily'!$A$2:$A$34,0))-INDEX('Costar - US Multifamily'!$F$2:$F$34,MATCH($A13,'Costar - US Multifamily'!$A$2:$A$34,0))</f>
        <v>-0.0014754685047869</v>
      </c>
      <c r="AA13" s="9" t="n">
        <f aca="false">INDEX('Costar - US Multifamily'!$H$2:$H$34,MATCH($A13,'Costar - US Multifamily'!$A$2:$A$34,0))</f>
        <v>1765.86107725045</v>
      </c>
      <c r="AB13" s="19" t="n">
        <f aca="false">1-INDEX('Costar - US Multifamily'!$F$2:$F$34,MATCH($A13,'Costar - US Multifamily'!$A$2:$A$34,0))</f>
        <v>0.915292446721569</v>
      </c>
      <c r="AC13" s="18" t="n">
        <f aca="false">AC12*(1+Y13)</f>
        <v>129.359570747722</v>
      </c>
    </row>
    <row r="15" customFormat="false" ht="15" hidden="false" customHeight="true" outlineLevel="0" collapsed="false">
      <c r="A15" s="2" t="s">
        <v>623</v>
      </c>
    </row>
    <row r="16" customFormat="false" ht="15" hidden="false" customHeight="true" outlineLevel="0" collapsed="false">
      <c r="A16" s="17" t="s">
        <v>744</v>
      </c>
    </row>
    <row r="17" customFormat="false" ht="15" hidden="false" customHeight="true" outlineLevel="0" collapsed="false">
      <c r="A17" s="17" t="s">
        <v>625</v>
      </c>
    </row>
    <row r="18" customFormat="false" ht="15" hidden="false" customHeight="true" outlineLevel="0" collapsed="false">
      <c r="A18" s="17" t="s">
        <v>626</v>
      </c>
    </row>
    <row r="19" customFormat="false" ht="15" hidden="false" customHeight="true" outlineLevel="0" collapsed="false">
      <c r="A19" s="17" t="s">
        <v>745</v>
      </c>
    </row>
    <row r="20" customFormat="false" ht="15" hidden="false" customHeight="true" outlineLevel="0" collapsed="false">
      <c r="A20" s="17" t="s">
        <v>628</v>
      </c>
    </row>
    <row r="21" customFormat="false" ht="15" hidden="false" customHeight="true" outlineLevel="0" collapsed="false">
      <c r="A21" s="17" t="s">
        <v>629</v>
      </c>
    </row>
    <row r="22" customFormat="false" ht="15" hidden="false" customHeight="true" outlineLevel="0" collapsed="false">
      <c r="A22" s="17" t="s">
        <v>630</v>
      </c>
    </row>
    <row r="23" customFormat="false" ht="15" hidden="false" customHeight="true" outlineLevel="0" collapsed="false">
      <c r="A23" s="17" t="s">
        <v>631</v>
      </c>
    </row>
    <row r="24" customFormat="false" ht="15" hidden="false" customHeight="true" outlineLevel="0" collapsed="false">
      <c r="A24" s="17" t="s">
        <v>632</v>
      </c>
    </row>
    <row r="25" customFormat="false" ht="15" hidden="false" customHeight="true" outlineLevel="0" collapsed="false">
      <c r="A25" s="17" t="s">
        <v>633</v>
      </c>
    </row>
    <row r="26" customFormat="false" ht="15" hidden="false" customHeight="true" outlineLevel="0" collapsed="false">
      <c r="A26" s="17" t="s">
        <v>746</v>
      </c>
    </row>
    <row r="27" customFormat="false" ht="15" hidden="false" customHeight="true" outlineLevel="0" collapsed="false">
      <c r="A27" s="17" t="s">
        <v>635</v>
      </c>
    </row>
    <row r="28" customFormat="false" ht="15" hidden="false" customHeight="true" outlineLevel="0" collapsed="false">
      <c r="A28" s="17" t="s">
        <v>636</v>
      </c>
    </row>
    <row r="29" customFormat="false" ht="15" hidden="false" customHeight="true" outlineLevel="0" collapsed="false">
      <c r="A29" s="17" t="s">
        <v>637</v>
      </c>
    </row>
    <row r="30" customFormat="false" ht="15" hidden="false" customHeight="true" outlineLevel="0" collapsed="false">
      <c r="A30" s="17" t="s">
        <v>638</v>
      </c>
    </row>
    <row r="31" customFormat="false" ht="15" hidden="false" customHeight="true" outlineLevel="0" collapsed="false">
      <c r="A31" s="17" t="s">
        <v>639</v>
      </c>
    </row>
    <row r="32" customFormat="false" ht="15" hidden="false" customHeight="true" outlineLevel="0" collapsed="false">
      <c r="A32" s="17" t="s">
        <v>640</v>
      </c>
    </row>
    <row r="33" customFormat="false" ht="15" hidden="false" customHeight="true" outlineLevel="0" collapsed="false">
      <c r="A33" s="17" t="s">
        <v>641</v>
      </c>
    </row>
    <row r="34" customFormat="false" ht="15" hidden="false" customHeight="true" outlineLevel="0" collapsed="false">
      <c r="A34" s="17" t="s">
        <v>642</v>
      </c>
    </row>
    <row r="35" customFormat="false" ht="15" hidden="false" customHeight="true" outlineLevel="0" collapsed="false">
      <c r="A35" s="17" t="s">
        <v>643</v>
      </c>
    </row>
    <row r="36" customFormat="false" ht="15" hidden="false" customHeight="true" outlineLevel="0" collapsed="false">
      <c r="A36" s="17" t="s">
        <v>644</v>
      </c>
    </row>
    <row r="37" customFormat="false" ht="15" hidden="false" customHeight="true" outlineLevel="0" collapsed="false">
      <c r="A37" s="17" t="s">
        <v>645</v>
      </c>
    </row>
    <row r="38" customFormat="false" ht="15" hidden="false" customHeight="true" outlineLevel="0" collapsed="false">
      <c r="A38" s="17" t="s">
        <v>646</v>
      </c>
    </row>
    <row r="39" customFormat="false" ht="15" hidden="false" customHeight="true" outlineLevel="0" collapsed="false">
      <c r="A39" s="17" t="s">
        <v>647</v>
      </c>
    </row>
    <row r="40" customFormat="false" ht="15" hidden="false" customHeight="true" outlineLevel="0" collapsed="false">
      <c r="A40" s="17" t="s">
        <v>648</v>
      </c>
    </row>
    <row r="41" customFormat="false" ht="15" hidden="false" customHeight="true" outlineLevel="0" collapsed="false">
      <c r="A41" s="17" t="s">
        <v>649</v>
      </c>
    </row>
    <row r="42" customFormat="false" ht="15" hidden="false" customHeight="true" outlineLevel="0" collapsed="false">
      <c r="A42" s="17" t="s">
        <v>650</v>
      </c>
    </row>
    <row r="43" customFormat="false" ht="15" hidden="false" customHeight="true" outlineLevel="0" collapsed="false">
      <c r="A43" s="17" t="s">
        <v>651</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2026-07-24T11:42:28Z</dcterms:created>
  <dc:creator>openpyxl</dc:creator>
  <dc:description/>
  <dc:language>en-US</dc:language>
  <cp:lastModifiedBy/>
  <dcterms:modified xsi:type="dcterms:W3CDTF">2026-07-25T15:26:30Z</dcterms:modified>
  <cp:revision>8</cp:revision>
  <dc:subject/>
  <dc:title/>
</cp:coreProperties>
</file>

<file path=docProps/custom.xml><?xml version="1.0" encoding="utf-8"?>
<Properties xmlns="http://schemas.openxmlformats.org/officeDocument/2006/custom-properties" xmlns:vt="http://schemas.openxmlformats.org/officeDocument/2006/docPropsVTypes"/>
</file>