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comments8.xml" ContentType="application/vnd.openxmlformats-officedocument.spreadsheetml.comments+xml"/>
  <Override PartName="/xl/theme/theme1.xml" ContentType="application/vnd.openxmlformats-officedocument.theme+xml"/>
  <Override PartName="/xl/sharedStrings.xml" ContentType="application/vnd.openxmlformats-officedocument.spreadsheetml.sharedStrings+xml"/>
  <Override PartName="/xl/comments10.xml" ContentType="application/vnd.openxmlformats-officedocument.spreadsheetml.comments+xml"/>
  <Override PartName="/xl/workbook.xml" ContentType="application/vnd.openxmlformats-officedocument.spreadsheetml.sheet.main+xml"/>
  <Override PartName="/xl/comments7.xml" ContentType="application/vnd.openxmlformats-officedocument.spreadsheetml.comments+xml"/>
  <Override PartName="/xl/comments3.xml" ContentType="application/vnd.openxmlformats-officedocument.spreadsheetml.comments+xml"/>
  <Override PartName="/xl/comments9.xml" ContentType="application/vnd.openxmlformats-officedocument.spreadsheetml.comments+xml"/>
  <Override PartName="/xl/worksheets/_rels/sheet3.xml.rels" ContentType="application/vnd.openxmlformats-package.relationships+xml"/>
  <Override PartName="/xl/worksheets/_rels/sheet4.xml.rels" ContentType="application/vnd.openxmlformats-package.relationships+xml"/>
  <Override PartName="/xl/worksheets/_rels/sheet10.xml.rels" ContentType="application/vnd.openxmlformats-package.relationships+xml"/>
  <Override PartName="/xl/worksheets/_rels/sheet7.xml.rels" ContentType="application/vnd.openxmlformats-package.relationships+xml"/>
  <Override PartName="/xl/worksheets/_rels/sheet8.xml.rels" ContentType="application/vnd.openxmlformats-package.relationships+xml"/>
  <Override PartName="/xl/worksheets/_rels/sheet9.xml.rels" ContentType="application/vnd.openxmlformats-package.relationships+xml"/>
  <Override PartName="/xl/worksheets/_rels/sheet5.xml.rels" ContentType="application/vnd.openxmlformats-package.relationships+xml"/>
  <Override PartName="/xl/worksheets/_rels/sheet6.xml.rels" ContentType="application/vnd.openxmlformats-package.relationships+xml"/>
  <Override PartName="/xl/worksheets/sheet11.xml" ContentType="application/vnd.openxmlformats-officedocument.spreadsheetml.worksheet+xml"/>
  <Override PartName="/xl/worksheets/sheet6.xml" ContentType="application/vnd.openxmlformats-officedocument.spreadsheetml.worksheet+xml"/>
  <Override PartName="/xl/worksheets/sheet15.xml" ContentType="application/vnd.openxmlformats-officedocument.spreadsheetml.worksheet+xml"/>
  <Override PartName="/xl/worksheets/sheet4.xml" ContentType="application/vnd.openxmlformats-officedocument.spreadsheetml.worksheet+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2.xml" ContentType="application/vnd.openxmlformats-officedocument.spreadsheetml.worksheet+xml"/>
  <Override PartName="/xl/worksheets/sheet7.xml" ContentType="application/vnd.openxmlformats-officedocument.spreadsheetml.worksheet+xml"/>
  <Override PartName="/xl/worksheets/sheet13.xml" ContentType="application/vnd.openxmlformats-officedocument.spreadsheetml.worksheet+xml"/>
  <Override PartName="/xl/worksheets/sheet8.xml" ContentType="application/vnd.openxmlformats-officedocument.spreadsheetml.worksheet+xml"/>
  <Override PartName="/xl/worksheets/sheet14.xml" ContentType="application/vnd.openxmlformats-officedocument.spreadsheetml.worksheet+xml"/>
  <Override PartName="/xl/worksheets/sheet9.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vmlDrawing1.vml" ContentType="application/vnd.openxmlformats-officedocument.vmlDrawing"/>
  <Override PartName="/xl/drawings/drawing1.xml" ContentType="application/vnd.openxmlformats-officedocument.drawing+xml"/>
  <Override PartName="/xl/drawings/vmlDrawing3.vml" ContentType="application/vnd.openxmlformats-officedocument.vmlDrawing"/>
  <Override PartName="/xl/drawings/vmlDrawing2.vml" ContentType="application/vnd.openxmlformats-officedocument.vmlDrawing"/>
  <Override PartName="/xl/drawings/drawing2.xml" ContentType="application/vnd.openxmlformats-officedocument.drawing+xml"/>
  <Override PartName="/xl/drawings/vmlDrawing4.vml" ContentType="application/vnd.openxmlformats-officedocument.vmlDrawing"/>
  <Override PartName="/xl/drawings/_rels/drawing4.xml.rels" ContentType="application/vnd.openxmlformats-package.relationships+xml"/>
  <Override PartName="/xl/drawings/_rels/drawing3.xml.rels" ContentType="application/vnd.openxmlformats-package.relationships+xml"/>
  <Override PartName="/xl/drawings/_rels/drawing2.xml.rels" ContentType="application/vnd.openxmlformats-package.relationships+xml"/>
  <Override PartName="/xl/drawings/_rels/drawing1.xml.rels" ContentType="application/vnd.openxmlformats-package.relationships+xml"/>
  <Override PartName="/xl/drawings/vmlDrawing5.vml" ContentType="application/vnd.openxmlformats-officedocument.vmlDrawing"/>
  <Override PartName="/xl/drawings/drawing3.xml" ContentType="application/vnd.openxmlformats-officedocument.drawing+xml"/>
  <Override PartName="/xl/drawings/vmlDrawing6.vml" ContentType="application/vnd.openxmlformats-officedocument.vmlDrawing"/>
  <Override PartName="/xl/drawings/drawing4.xml" ContentType="application/vnd.openxmlformats-officedocument.drawing+xml"/>
  <Override PartName="/xl/drawings/vmlDrawing7.vml" ContentType="application/vnd.openxmlformats-officedocument.vmlDrawing"/>
  <Override PartName="/xl/drawings/vmlDrawing8.vml" ContentType="application/vnd.openxmlformats-officedocument.vmlDrawing"/>
  <Override PartName="/xl/comments4.xml" ContentType="application/vnd.openxmlformats-officedocument.spreadsheetml.comments+xml"/>
  <Override PartName="/xl/charts/chart29.xml" ContentType="application/vnd.openxmlformats-officedocument.drawingml.chart+xml"/>
  <Override PartName="/xl/charts/chart28.xml" ContentType="application/vnd.openxmlformats-officedocument.drawingml.chart+xml"/>
  <Override PartName="/xl/charts/chart27.xml" ContentType="application/vnd.openxmlformats-officedocument.drawingml.chart+xml"/>
  <Override PartName="/xl/charts/chart26.xml" ContentType="application/vnd.openxmlformats-officedocument.drawingml.chart+xml"/>
  <Override PartName="/xl/charts/chart25.xml" ContentType="application/vnd.openxmlformats-officedocument.drawingml.chart+xml"/>
  <Override PartName="/xl/charts/chart24.xml" ContentType="application/vnd.openxmlformats-officedocument.drawingml.chart+xml"/>
  <Override PartName="/xl/charts/chart23.xml" ContentType="application/vnd.openxmlformats-officedocument.drawingml.chart+xml"/>
  <Override PartName="/xl/charts/chart22.xml" ContentType="application/vnd.openxmlformats-officedocument.drawingml.chart+xml"/>
  <Override PartName="/xl/charts/chart21.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18.xml" ContentType="application/vnd.openxmlformats-officedocument.drawingml.chart+xml"/>
  <Override PartName="/xl/charts/chart17.xml" ContentType="application/vnd.openxmlformats-officedocument.drawingml.chart+xml"/>
  <Override PartName="/xl/charts/chart16.xml" ContentType="application/vnd.openxmlformats-officedocument.drawingml.chart+xml"/>
  <Override PartName="/xl/charts/chart15.xml" ContentType="application/vnd.openxmlformats-officedocument.drawingml.chart+xml"/>
  <Override PartName="/xl/charts/chart14.xml" ContentType="application/vnd.openxmlformats-officedocument.drawingml.chart+xml"/>
  <Override PartName="/xl/charts/chart1.xml" ContentType="application/vnd.openxmlformats-officedocument.drawingml.chart+xml"/>
  <Override PartName="/xl/charts/chart35.xml" ContentType="application/vnd.openxmlformats-officedocument.drawingml.chart+xml"/>
  <Override PartName="/xl/charts/chart2.xml" ContentType="application/vnd.openxmlformats-officedocument.drawingml.chart+xml"/>
  <Override PartName="/xl/charts/chart36.xml" ContentType="application/vnd.openxmlformats-officedocument.drawingml.chart+xml"/>
  <Override PartName="/xl/charts/chart3.xml" ContentType="application/vnd.openxmlformats-officedocument.drawingml.chart+xml"/>
  <Override PartName="/xl/charts/chart37.xml" ContentType="application/vnd.openxmlformats-officedocument.drawingml.chart+xml"/>
  <Override PartName="/xl/charts/chart41.xml" ContentType="application/vnd.openxmlformats-officedocument.drawingml.chart+xml"/>
  <Override PartName="/xl/charts/chart7.xml" ContentType="application/vnd.openxmlformats-officedocument.drawingml.chart+xml"/>
  <Override PartName="/xl/charts/chart42.xml" ContentType="application/vnd.openxmlformats-officedocument.drawingml.chart+xml"/>
  <Override PartName="/xl/charts/chart8.xml" ContentType="application/vnd.openxmlformats-officedocument.drawingml.chart+xml"/>
  <Override PartName="/xl/charts/chart43.xml" ContentType="application/vnd.openxmlformats-officedocument.drawingml.chart+xml"/>
  <Override PartName="/xl/charts/chart9.xml" ContentType="application/vnd.openxmlformats-officedocument.drawingml.chart+xml"/>
  <Override PartName="/xl/charts/chart32.xml" ContentType="application/vnd.openxmlformats-officedocument.drawingml.chart+xml"/>
  <Override PartName="/xl/charts/chart44.xml" ContentType="application/vnd.openxmlformats-officedocument.drawingml.chart+xml"/>
  <Override PartName="/xl/charts/chart33.xml" ContentType="application/vnd.openxmlformats-officedocument.drawingml.chart+xml"/>
  <Override PartName="/xl/charts/chart45.xml" ContentType="application/vnd.openxmlformats-officedocument.drawingml.chart+xml"/>
  <Override PartName="/xl/charts/chart34.xml" ContentType="application/vnd.openxmlformats-officedocument.drawingml.chart+xml"/>
  <Override PartName="/xl/charts/chart46.xml" ContentType="application/vnd.openxmlformats-officedocument.drawingml.chart+xml"/>
  <Override PartName="/xl/charts/chart50.xml" ContentType="application/vnd.openxmlformats-officedocument.drawingml.chart+xml"/>
  <Override PartName="/xl/charts/chart13.xml" ContentType="application/vnd.openxmlformats-officedocument.drawingml.chart+xml"/>
  <Override PartName="/xl/charts/chart11.xml" ContentType="application/vnd.openxmlformats-officedocument.drawingml.chart+xml"/>
  <Override PartName="/xl/charts/chart48.xml" ContentType="application/vnd.openxmlformats-officedocument.drawingml.chart+xml"/>
  <Override PartName="/xl/charts/chart51.xml" ContentType="application/vnd.openxmlformats-officedocument.drawingml.chart+xml"/>
  <Override PartName="/xl/charts/chart40.xml" ContentType="application/vnd.openxmlformats-officedocument.drawingml.chart+xml"/>
  <Override PartName="/xl/charts/chart6.xml" ContentType="application/vnd.openxmlformats-officedocument.drawingml.chart+xml"/>
  <Override PartName="/xl/charts/chart4.xml" ContentType="application/vnd.openxmlformats-officedocument.drawingml.chart+xml"/>
  <Override PartName="/xl/charts/chart38.xml" ContentType="application/vnd.openxmlformats-officedocument.drawingml.chart+xml"/>
  <Override PartName="/xl/charts/chart52.xml" ContentType="application/vnd.openxmlformats-officedocument.drawingml.chart+xml"/>
  <Override PartName="/xl/charts/chart31.xml" ContentType="application/vnd.openxmlformats-officedocument.drawingml.chart+xml"/>
  <Override PartName="/xl/charts/chart30.xml" ContentType="application/vnd.openxmlformats-officedocument.drawingml.chart+xml"/>
  <Override PartName="/xl/charts/chart49.xml" ContentType="application/vnd.openxmlformats-officedocument.drawingml.chart+xml"/>
  <Override PartName="/xl/charts/chart12.xml" ContentType="application/vnd.openxmlformats-officedocument.drawingml.chart+xml"/>
  <Override PartName="/xl/charts/chart10.xml" ContentType="application/vnd.openxmlformats-officedocument.drawingml.chart+xml"/>
  <Override PartName="/xl/charts/chart47.xml" ContentType="application/vnd.openxmlformats-officedocument.drawingml.chart+xml"/>
  <Override PartName="/xl/charts/chart39.xml" ContentType="application/vnd.openxmlformats-officedocument.drawingml.chart+xml"/>
  <Override PartName="/xl/charts/chart5.xml" ContentType="application/vnd.openxmlformats-officedocument.drawingml.chart+xml"/>
  <Override PartName="/xl/comments6.xml" ContentType="application/vnd.openxmlformats-officedocument.spreadsheetml.comments+xml"/>
  <Override PartName="/xl/styles.xml" ContentType="application/vnd.openxmlformats-officedocument.spreadsheetml.styles+xml"/>
  <Override PartName="/xl/comments5.xml" ContentType="application/vnd.openxmlformats-officedocument.spreadsheetml.comment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ources" sheetId="1" state="visible" r:id="rId3"/>
    <sheet name="BXP w JV" sheetId="2" state="visible" r:id="rId4"/>
    <sheet name="BXP Final" sheetId="3" state="visible" r:id="rId5"/>
    <sheet name="BXP vs Market" sheetId="4" state="visible" r:id="rId6"/>
    <sheet name="CUZ Final" sheetId="5" state="visible" r:id="rId7"/>
    <sheet name="CUZ vs Market" sheetId="6" state="visible" r:id="rId8"/>
    <sheet name="HIW Final" sheetId="7" state="visible" r:id="rId9"/>
    <sheet name="HIW vs Market" sheetId="8" state="visible" r:id="rId10"/>
    <sheet name="Composite" sheetId="9" state="visible" r:id="rId11"/>
    <sheet name="Composite vs Market" sheetId="10" state="visible" r:id="rId12"/>
    <sheet name="CoStar - US Office" sheetId="11" state="visible" r:id="rId13"/>
    <sheet name="Green Street National" sheetId="12" state="visible" r:id="rId14"/>
    <sheet name="Inflation" sheetId="13" state="visible" r:id="rId15"/>
    <sheet name="10 YR UST" sheetId="14" state="visible" r:id="rId16"/>
    <sheet name="Prime Rate" sheetId="15" state="visible" r:id="rId17"/>
  </sheets>
  <calcPr iterateCount="100" refMode="A1" iterate="false" iterateDelta="0.0001"/>
  <extLst>
    <ext xmlns:loext="http://schemas.libreoffice.org/" uri="{7626C862-2A13-11E5-B345-FEFF819CDC9F}">
      <loext:extCalcPr stringRefSyntax="ExcelA1"/>
    </ext>
  </extLst>
</workbook>
</file>

<file path=xl/comments10.xml><?xml version="1.0" encoding="utf-8"?>
<comments xmlns="http://schemas.openxmlformats.org/spreadsheetml/2006/main" xmlns:xdr="http://schemas.openxmlformats.org/drawingml/2006/spreadsheetDrawing">
  <authors>
    <author>Unknown Author</author>
  </authors>
  <commentList>
    <comment ref="AE3" authorId="0">
      <text>
        <r>
          <rPr>
            <sz val="10"/>
            <rFont val="Arial"/>
            <family val="2"/>
          </rPr>
          <t xml:space="preserve">Chart-label helper columns (added 2026-07-24): AE = YoY growth of Annual NOI (col L); AF = YoY growth of Leveraged Property Cash Flow (col N). The two "labeled YoY growth" charts on this tab pull their bar data labels from these cells (Value From Cells). Formulas only - do not hardcode; 2016 blank by design (no prior year).</t>
        </r>
      </text>
    </comment>
  </commentList>
</comments>
</file>

<file path=xl/comments3.xml><?xml version="1.0" encoding="utf-8"?>
<comments xmlns="http://schemas.openxmlformats.org/spreadsheetml/2006/main" xmlns:xdr="http://schemas.openxmlformats.org/drawingml/2006/spreadsheetDrawing">
  <authors>
    <author>Unknown Author</author>
  </authors>
  <commentList>
    <comment ref="AE8" authorId="0">
      <text>
        <r>
          <rPr>
            <sz val="10"/>
            <rFont val="Arial"/>
            <family val="2"/>
          </rPr>
          <t xml:space="preserve">CHIP DECISION 2026-07-20: col AE carries IN-SERVICE OCCUPANCY (year-end) for ALL ten years - one consistent, conservative measure, matching the HIW treatment. BXP's in-service % leased incl. signed-not-commenced (disclosed FY2023+) remains on 'BXP w JV' col AH: 2023 89.9%, 2024 89.4%, 2025 89.4% - it runs 1.5-2.7pp ABOVE occupancy. Supersedes the prior treatment (leased 2023-25, n/d earlier).</t>
        </r>
      </text>
    </comment>
  </commentList>
</comments>
</file>

<file path=xl/comments4.xml><?xml version="1.0" encoding="utf-8"?>
<comments xmlns="http://schemas.openxmlformats.org/spreadsheetml/2006/main" xmlns:xdr="http://schemas.openxmlformats.org/drawingml/2006/spreadsheetDrawing">
  <authors>
    <author>Unknown Author</author>
  </authors>
  <commentList>
    <comment ref="AE3" authorId="0">
      <text>
        <r>
          <rPr>
            <sz val="10"/>
            <rFont val="Arial"/>
            <family val="2"/>
          </rPr>
          <t xml:space="preserve">Chart-label helper columns (added 2026-07-24): AE = YoY growth of Annual NOI (col L); AF = YoY growth of Leveraged Property Cash Flow (col N). The two "labeled YoY growth" charts on this tab pull their bar data labels from these cells (Value From Cells). Formulas only - do not hardcode; 2016 blank by design (no prior year).</t>
        </r>
      </text>
    </comment>
  </commentList>
</comments>
</file>

<file path=xl/comments5.xml><?xml version="1.0" encoding="utf-8"?>
<comments xmlns="http://schemas.openxmlformats.org/spreadsheetml/2006/main" xmlns:xdr="http://schemas.openxmlformats.org/drawingml/2006/spreadsheetDrawing">
  <authors>
    <author>Unknown Author</author>
  </authors>
  <commentList>
    <comment ref="N8" authorId="0">
      <text>
        <r>
          <rPr>
            <sz val="10"/>
            <rFont val="Arial"/>
            <family val="2"/>
          </rPr>
          <t xml:space="preserve">CUZ has no economic preferred. The 'limited voting preferred stock' outstanding 2016-2019 (Parkway-merger artifact paired with CPLP units) carries no dividend or distribution rights and is excluded; redeemed 1Q2020. N = 0 all years.</t>
        </r>
      </text>
    </comment>
    <comment ref="AE17" authorId="0">
      <text>
        <r>
          <rPr>
            <sz val="10"/>
            <rFont val="Arial"/>
            <family val="2"/>
          </rPr>
          <t xml:space="preserve">FY2016 FLAG (CHIP DECISION 2026-07-20): total-office percent leased is NOT published in the Q4 2016 vintage (the KPM chart page carries other metrics only; Portfolio Statistics print per-property figures with no total row). This cell carries the SAME PROPERTY period-end leased, 91.8%, the only printed portfolio-level figure (Q4 2016 Supplemental, Key Performance Metrics p.4 'Same Property Information - Percent Leased (period end)'; also Same Property Performance p.15). Same-property pool only - not directly comparable to the total-office figures in later rows.</t>
        </r>
      </text>
    </comment>
    <comment ref="AI17" authorId="0">
      <text>
        <r>
          <rPr>
            <sz val="10"/>
            <rFont val="Arial"/>
            <family val="2"/>
          </rPr>
          <t xml:space="preserve">FY2016 Total NOI includes discontinued operations (Houston assets spun off with Parkway, Oct 2016; $78,591K office NOI) and a partial quarter of legacy Parkway assets.</t>
        </r>
      </text>
    </comment>
    <comment ref="AJ17" authorId="0">
      <text>
        <r>
          <rPr>
            <sz val="10"/>
            <rFont val="Arial"/>
            <family val="2"/>
          </rPr>
          <t xml:space="preserve">FY2016 Total Interest Expense includes discontinued-operations interest of $6,021K.</t>
        </r>
      </text>
    </comment>
    <comment ref="AK15" authorId="0">
      <text>
        <r>
          <rPr>
            <sz val="10"/>
            <rFont val="Arial"/>
            <family val="2"/>
          </rPr>
          <t xml:space="preserve">FY2019 FFO includes $52,877K of TIER REIT merger transaction costs. FFO before TIER transaction costs: $381,670K ($2.94/sh). As-reported figure carried.</t>
        </r>
      </text>
    </comment>
    <comment ref="AM17" authorId="0">
      <text>
        <r>
          <rPr>
            <sz val="10"/>
            <rFont val="Arial"/>
            <family val="2"/>
          </rPr>
          <t xml:space="preserve">FY2016 Land Inventory Company's-share grand total includes commercial ($16,386) and residential ($3,544) land held.</t>
        </r>
      </text>
    </comment>
    <comment ref="AN17" authorId="0">
      <text>
        <r>
          <rPr>
            <sz val="10"/>
            <rFont val="Arial"/>
            <family val="2"/>
          </rPr>
          <t xml:space="preserve">FY2016 EXCEPTION: that supplemental vintage prints Project Cost Incurred to Date at 100% only (footnote 2); no Company-share figure exists. Entered at 100% basis and flagged on the Sources tab.</t>
        </r>
      </text>
    </comment>
    <comment ref="AP17" authorId="0">
      <text>
        <r>
          <rPr>
            <sz val="10"/>
            <rFont val="Arial"/>
            <family val="2"/>
          </rPr>
          <t xml:space="preserve">FY2016 cash common dividends are low because the Q4 2016 dividend was paid in January 2017 (per FY2016 10-K MD&amp;A). Cash-flow-statement basis, as filed.</t>
        </r>
      </text>
    </comment>
    <comment ref="AS13" authorId="0">
      <text>
        <r>
          <rPr>
            <sz val="10"/>
            <rFont val="Arial"/>
            <family val="2"/>
          </rPr>
          <t xml:space="preserve">Published 2020 Total Debt ($2,277,759K) exceeds the sum of its printed line items by $1K (internal rounding in CUZ's schedule: unconsolidated lines sum to 115,039 vs printed subtotal 115,040). Tie-out shows -1.</t>
        </r>
      </text>
    </comment>
    <comment ref="AT8" authorId="0">
      <text>
        <r>
          <rPr>
            <sz val="10"/>
            <rFont val="Arial"/>
            <family val="2"/>
          </rPr>
          <t xml:space="preserve">Explicit sum of unsecured lines (net Total column), Q4 2025 Supplemental Debt Schedule, Company share:
Term Loan $250M: 249,936
Credit Facility: 116,000
Term Loan $400M: 399,924
PP Notes $100M: 99,930
PP Notes $125M: 124,906
PP Notes $250M: 249,719
PP Notes $275M: 274,609
Public Notes 5.25% $500M: 496,124
Public Notes 5.375% $400M: 395,098
Public Notes 5.875% $500M: 493,769</t>
        </r>
      </text>
    </comment>
    <comment ref="AT9" authorId="0">
      <text>
        <r>
          <rPr>
            <sz val="10"/>
            <rFont val="Arial"/>
            <family val="2"/>
          </rPr>
          <t xml:space="preserve">Explicit sum of unsecured lines (net Total column), Q4 2024 Supplemental Debt Schedule, Company share:
Credit Facility: 112,332
Term Loan $250M: 249,940
Public Notes 5.875% $500M: 493,236
Public Notes 5.375% $400M: 394,274
Term Loan $400M: 399,818
PP Notes $275M: 274,496
PP Notes $250M 2025: 249,908
PP Notes $250M 2028: 249,605
PP Notes $125M: 124,842
PP Notes $100M: 99,874</t>
        </r>
      </text>
    </comment>
    <comment ref="AT10" authorId="0">
      <text>
        <r>
          <rPr>
            <sz val="10"/>
            <rFont val="Arial"/>
            <family val="2"/>
          </rPr>
          <t xml:space="preserve">Explicit sum of unsecured lines (net Total column), Q4 2023 Supplemental Debt Schedule, Company share:
Term Loan SOFR+1.05-1.65: 199,386
Credit Facility: 185,100
Term Loan $350M swap: 349,626
PP Notes $275M: 274,383
PP Notes $250M 2025: 249,725
PP Notes $250M 2028: 249,491
Term Loan $200M: 199,361
PP Notes $125M: 124,778
PP Notes $100M: 99,820</t>
        </r>
      </text>
    </comment>
    <comment ref="AT11" authorId="0">
      <text>
        <r>
          <rPr>
            <sz val="10"/>
            <rFont val="Arial"/>
            <family val="2"/>
          </rPr>
          <t xml:space="preserve">Explicit sum of unsecured lines (net Total column), Q4 2022 Supplemental Debt Schedule, Company share:
Term Loan $400M: 397,719
Credit Facility: 56,600
Term Loan $350M swap: 348,877
PP Notes $275M: 274,271
PP Notes $250M 2025: 249,542
PP Notes $250M 2028: 249,377
PP Notes $125M: 124,714
PP Notes $100M: 99,765</t>
        </r>
      </text>
    </comment>
    <comment ref="AT12" authorId="0">
      <text>
        <r>
          <rPr>
            <sz val="10"/>
            <rFont val="Arial"/>
            <family val="2"/>
          </rPr>
          <t xml:space="preserve">Explicit sum of unsecured lines (net Total column), Q4 2021 Supplemental Debt Schedule, Company share:
Term Loan: 348,129
Credit Facility: 228,500
2019 Sr Note C: 274,158
2017 Sr Note A: 249,359
2019 Sr Note B: 249,263
2019 Sr Note A: 124,650
2017 Sr Note B: 99,709</t>
        </r>
      </text>
    </comment>
    <comment ref="AT13" authorId="0">
      <text>
        <r>
          <rPr>
            <sz val="10"/>
            <rFont val="Arial"/>
            <family val="2"/>
          </rPr>
          <t xml:space="preserve">Explicit sum of unsecured lines (net Total column), Q4 2020 Supplemental Debt Schedule, Company share:
Term Loan: 249,585
Credit Facility: 232,400
2019 Sr Notes $275M: 274,045
2017 Sr Notes $250M: 249,176
2019 Sr Notes $250M: 249,149
2019 Sr Notes $125M: 124,586
2017 Sr Notes $100M: 99,654</t>
        </r>
      </text>
    </comment>
    <comment ref="AT14" authorId="0">
      <text>
        <r>
          <rPr>
            <sz val="10"/>
            <rFont val="Arial"/>
            <family val="2"/>
          </rPr>
          <t xml:space="preserve">Explicit sum of unsecured lines (net Total column), Q4 2019 Supplemental Debt Schedule, Company share:
Credit Facility: 251,500
Term Loan: 249,226
2019 Sr Notes $275M: 273,932
2017 Sr Notes $250M: 248,993
2019 Sr Notes $250M: 249,035
2019 Sr Notes $125M: 124,521
2017 Sr Notes $100M: 99,599</t>
        </r>
      </text>
    </comment>
    <comment ref="AT15" authorId="0">
      <text>
        <r>
          <rPr>
            <sz val="10"/>
            <rFont val="Arial"/>
            <family val="2"/>
          </rPr>
          <t xml:space="preserve">Explicit sum of unsecured lines (net Total column), Q4 2018 Supplemental Debt Schedule, Company share:
Term Loan: 248,852
Sr Notes 3.91% $250M: 248,810
Sr Notes 4.09% $100M: 99,544</t>
        </r>
      </text>
    </comment>
    <comment ref="AT16" authorId="0">
      <text>
        <r>
          <rPr>
            <sz val="10"/>
            <rFont val="Arial"/>
            <family val="2"/>
          </rPr>
          <t xml:space="preserve">Explicit sum of unsecured lines (net Total column), Q4 2017 Supplemental Debt Schedule, Company share:
Term Loan: 248,459
Sr Notes 3.91% $250M: 248,629
Sr Notes 4.09% $100M: 99,489</t>
        </r>
      </text>
    </comment>
    <comment ref="AT17" authorId="0">
      <text>
        <r>
          <rPr>
            <sz val="10"/>
            <rFont val="Arial"/>
            <family val="2"/>
          </rPr>
          <t xml:space="preserve">Explicit sum of unsecured lines (net Total column), Q4 2016 Supplemental Debt Schedule, Company share:
Term Loan: 248,174
Credit Facility: 134,000</t>
        </r>
      </text>
    </comment>
    <comment ref="AU8" authorId="0">
      <text>
        <r>
          <rPr>
            <sz val="10"/>
            <rFont val="Arial"/>
            <family val="2"/>
          </rPr>
          <t xml:space="preserve">Explicit sum of secured/mortgage &amp; construction lines (net Total column), Q4 2025 Supplemental Debt Schedule, Company share (unconsolidated lines at ownership share):
Colorado Tower: 101,140
201 N. Tryon: 118,885
Terminus: 220,775
Neuhoff constr (uncons 50%): 124,961
Emory MOB (uncons 50%): 41,244</t>
        </r>
      </text>
    </comment>
    <comment ref="AU9" authorId="0">
      <text>
        <r>
          <rPr>
            <sz val="10"/>
            <rFont val="Arial"/>
            <family val="2"/>
          </rPr>
          <t xml:space="preserve">Explicit sum of secured/mortgage &amp; construction lines (net Total column), Q4 2024 Supplemental Debt Schedule, Company share (unconsolidated lines at ownership share):
Terminus: 220,731
Fifth Third Center: 122,690
Colorado Tower: 103,920
Neuhoff constr (uncons 50%): 137,534
Emory MOB (uncons 50%): 41,188</t>
        </r>
      </text>
    </comment>
    <comment ref="AU10" authorId="0">
      <text>
        <r>
          <rPr>
            <sz val="10"/>
            <rFont val="Arial"/>
            <family val="2"/>
          </rPr>
          <t xml:space="preserve">Explicit sum of secured/mortgage &amp; construction lines (net Total column), Q4 2023 Supplemental Debt Schedule, Company share (unconsolidated lines at ownership share):
Terminus: 220,687
Fifth Third Center: 126,369
Colorado Tower: 106,605
Domain 10: 72,296
Neuhoff constr (uncons 50%): 109,890
Emory MOB (uncons 50%): 41,158</t>
        </r>
      </text>
    </comment>
    <comment ref="AU11" authorId="0">
      <text>
        <r>
          <rPr>
            <sz val="10"/>
            <rFont val="Arial"/>
            <family val="2"/>
          </rPr>
          <t xml:space="preserve">Explicit sum of secured/mortgage &amp; construction lines (net Total column), Q4 2022 Supplemental Debt Schedule, Company share (unconsolidated lines at ownership share):
Fifth Third Center: 129,921
Colorado Tower: 109,199
Terminus: 220,676
Domain 10: 73,945
Neuhoff constr (uncons 50%): 57,970
Emory MOB (uncons 50%): 31,428</t>
        </r>
      </text>
    </comment>
    <comment ref="AU12" authorId="0">
      <text>
        <r>
          <rPr>
            <sz val="10"/>
            <rFont val="Arial"/>
            <family val="2"/>
          </rPr>
          <t xml:space="preserve">Explicit sum of secured/mortgage &amp; construction lines (net Total column), Q4 2021 Supplemental Debt Schedule, Company share (unconsolidated lines at ownership share):
Fifth Third Center: 133,358
Terminus 100: 114,193
Colorado Tower: 111,701
Promenade Tower: 89,011
Domain 10: 75,522
Terminus 200: 73,238
Legacy Union One: 66,718
Carolina Square (uncons 50%): 66,327
Neuhoff constr (uncons 50%): 14,195
Emory MOB (uncons 50%): 32,283</t>
        </r>
      </text>
    </comment>
    <comment ref="AU13" authorId="0">
      <text>
        <r>
          <rPr>
            <sz val="10"/>
            <rFont val="Arial"/>
            <family val="2"/>
          </rPr>
          <t xml:space="preserve">Explicit sum of secured/mortgage &amp; construction lines (net Total column), Q4 2020 Supplemental Debt Schedule, Company share (unconsolidated lines at ownership share):
Fifth Third Center: 136,676
Terminus 100: 119,833
Colorado Tower: 114,114
Promenade: 92,492
816 Congress: 77,917
Terminus 200: 75,655
Legacy Union One: 67,437
Carolina Square (uncons 50%): 38,517
300 Colorado (uncons 50%): 43,424
Emory MOB (uncons 50%): 33,098</t>
        </r>
      </text>
    </comment>
    <comment ref="AU14" authorId="0">
      <text>
        <r>
          <rPr>
            <sz val="10"/>
            <rFont val="Arial"/>
            <family val="2"/>
          </rPr>
          <t xml:space="preserve">Explicit sum of secured/mortgage &amp; construction lines (net Total column), Q4 2019 Supplemental Debt Schedule, Company share (unconsolidated lines at ownership share):
Fifth Third Center: 139,884
Terminus 100: 125,304
Colorado Tower: 116,443
Promenade: 95,824
816 Congress: 79,590
Terminus 200: 78,005
Legacy Union One: 68,155
Meridian Mark Plaza: 22,964
Carolina Square (uncons 50%): 37,831
300 Colorado (uncons 50%): 10,715
Emory MOB (uncons 50%): 33,973</t>
        </r>
      </text>
    </comment>
    <comment ref="AU15" authorId="0">
      <text>
        <r>
          <rPr>
            <sz val="10"/>
            <rFont val="Arial"/>
            <family val="2"/>
          </rPr>
          <t xml:space="preserve">Explicit sum of secured/mortgage &amp; construction lines (net Total column), Q4 2018 Supplemental Debt Schedule, Company share (unconsolidated lines at ownership share):
Fifth Third Center: 142,981
Colorado Tower: 118,689
Promenade: 99,015
816 Congress: 81,196
Meridian Mark Plaza: 23,483
Carolina Square (uncons 50%): 37,319
Terminus 100 (uncons 50%): 60,517
Terminus 200 (uncons 50%): 38,849
Emory MOB (uncons 50%): 34,761</t>
        </r>
      </text>
    </comment>
    <comment ref="AU16" authorId="0">
      <text>
        <r>
          <rPr>
            <sz val="10"/>
            <rFont val="Arial"/>
            <family val="2"/>
          </rPr>
          <t xml:space="preserve">Explicit sum of secured/mortgage &amp; construction lines (net Total column), Q4 2017 Supplemental Debt Schedule, Company share (unconsolidated lines at ownership share):
Fifth Third Center: 145,974
Colorado Tower: 119,165
Promenade: 102,071
816 Congress: 82,742
Meridian Mark Plaza: 23,970
The Pointe: 22,729
Carolina Square (uncons 50%): 32,206
Terminus 100 (uncons 50%): 61,922
Terminus 200 (uncons 50%): 39,644
Emory MOB (uncons 50%): 35,523</t>
        </r>
      </text>
    </comment>
    <comment ref="AU17" authorId="0">
      <text>
        <r>
          <rPr>
            <sz val="10"/>
            <rFont val="Arial"/>
            <family val="2"/>
          </rPr>
          <t xml:space="preserve">Explicit sum of secured/mortgage &amp; construction lines (net Total column), Q4 2016 Supplemental Debt Schedule, Company share (unconsolidated lines at ownership share):
Fifth Third Center: 148,866
One Eleven Congress: 130,002
American Cancer Society Ctr: 127,451
Colorado Tower: 119,069
Promenade: 104,997
San Jacinto: 102,562
816 Congress: 84,231
3344 Peachtree: 80,258
Two Buckhead Plaza: 53,515
Meridian Mark Plaza: 24,426
The Pointe: 23,369
Emory Point I (uncons 75%): 43,522
Emory Point II (uncons 75%): 33,727
Carolina Square (uncons 50%): 11,870
Terminus 100 (uncons 50%): 63,256
Terminus 200 (uncons 50%): 40,408
Emory Univ Hosp Midtown (uncons 50%): 36,258
Courvoisier Centre (uncons 20%): 22,309</t>
        </r>
      </text>
    </comment>
    <comment ref="AX11" authorId="0">
      <text>
        <r>
          <rPr>
            <sz val="10"/>
            <rFont val="Arial"/>
            <family val="2"/>
          </rPr>
          <t xml:space="preserve">FY2022: no full-year total-office W.A. occupancy printed; Same Property full-year figure carried (flagged). Total-office 4Q22 was 87.1%.</t>
        </r>
      </text>
    </comment>
    <comment ref="AX12" authorId="0">
      <text>
        <r>
          <rPr>
            <sz val="10"/>
            <rFont val="Arial"/>
            <family val="2"/>
          </rPr>
          <t xml:space="preserve">FY2021: Same Property full-year figure carried (flagged). Total-office 4Q21 was 89.0%.</t>
        </r>
      </text>
    </comment>
    <comment ref="AX14" authorId="0">
      <text>
        <r>
          <rPr>
            <sz val="10"/>
            <rFont val="Arial"/>
            <family val="2"/>
          </rPr>
          <t xml:space="preserve">FY2019: Same Property full-year figure carried (flagged). Total-office 4Q19 was 90.1%.</t>
        </r>
      </text>
    </comment>
    <comment ref="AX15" authorId="0">
      <text>
        <r>
          <rPr>
            <sz val="10"/>
            <rFont val="Arial"/>
            <family val="2"/>
          </rPr>
          <t xml:space="preserve">FY2018: Same Property full-year figure carried (flagged). Total-office 4Q18 was 92.6%.</t>
        </r>
      </text>
    </comment>
  </commentList>
</comments>
</file>

<file path=xl/comments6.xml><?xml version="1.0" encoding="utf-8"?>
<comments xmlns="http://schemas.openxmlformats.org/spreadsheetml/2006/main" xmlns:xdr="http://schemas.openxmlformats.org/drawingml/2006/spreadsheetDrawing">
  <authors>
    <author>Unknown Author</author>
  </authors>
  <commentList>
    <comment ref="AE3" authorId="0">
      <text>
        <r>
          <rPr>
            <sz val="10"/>
            <rFont val="Arial"/>
            <family val="2"/>
          </rPr>
          <t xml:space="preserve">Chart-label helper columns (added 2026-07-24): AE = YoY growth of Annual NOI (col L); AF = YoY growth of Leveraged Property Cash Flow (col N). The two "labeled YoY growth" charts on this tab pull their bar data labels from these cells (Value From Cells). Formulas only - do not hardcode; 2016 blank by design (no prior year).</t>
        </r>
      </text>
    </comment>
  </commentList>
</comments>
</file>

<file path=xl/comments7.xml><?xml version="1.0" encoding="utf-8"?>
<comments xmlns="http://schemas.openxmlformats.org/spreadsheetml/2006/main" xmlns:xdr="http://schemas.openxmlformats.org/drawingml/2006/spreadsheetDrawing">
  <authors>
    <author>Unknown Author</author>
  </authors>
  <commentList>
    <comment ref="B8" authorId="0">
      <text>
        <r>
          <rPr>
            <sz val="10"/>
            <rFont val="Arial"/>
            <family val="2"/>
          </rPr>
          <t xml:space="preserve">NOI = Rental and other revenues less Rental property and other expenses (HIW's own NOI definition), CONSOLIDATED. Excludes HIW's share of unconsolidated JV NOI (roughly 2-4%); includes 100% of consolidated JVs. Per Chip decision 2026-07-20.</t>
        </r>
      </text>
    </comment>
    <comment ref="N8" authorId="0">
      <text>
        <r>
          <rPr>
            <sz val="10"/>
            <rFont val="Arial"/>
            <family val="2"/>
          </rPr>
          <t xml:space="preserve">Preferred (8.625% Series A Cumulative Redeemable, $1,000/share liquidation preference) at liquidation value, treated as debt - same treatment as BXP's Series B. Small: $26.7-28.9M across the decade.</t>
        </r>
      </text>
    </comment>
    <comment ref="AD8" authorId="0">
      <text>
        <r>
          <rPr>
            <sz val="10"/>
            <rFont val="Arial"/>
            <family val="2"/>
          </rPr>
          <t xml:space="preserve">HIW publishes NO year-ended 2nd-gen GAAP rent growth; this column carries the Q4-QUARTER figure from each Q4 supplemental (flagged - not a YTD measure like the other tabs). GAAP rent growth approximates a straight-line measure.</t>
        </r>
      </text>
    </comment>
    <comment ref="AE8" authorId="0">
      <text>
        <r>
          <rPr>
            <sz val="10"/>
            <rFont val="Arial"/>
            <family val="2"/>
          </rPr>
          <t xml:space="preserve">HIW discloses year-end OCCUPANCY, not 'percentage leased' (Chip decision 2026-07-20: carry occupancy, flagged). Occupancy excludes signed-not-commenced leases, so it runs below a leased-% measure. '@ HIW share' labeling begins with the 2022 vintage; earlier years are total in-service portfolio (incl JVs at share per each supplemental's basis note).</t>
        </r>
      </text>
    </comment>
    <comment ref="AP12" authorId="0">
      <text>
        <r>
          <rPr>
            <sz val="10"/>
            <rFont val="Arial"/>
            <family val="2"/>
          </rPr>
          <t xml:space="preserve">FY2021: no @ HIW share pipeline row printed; 100% total carried (2827 Peachtree is a 50% JV, Midtown West 80% - modest overstatement of share).</t>
        </r>
      </text>
    </comment>
    <comment ref="AP13" authorId="0">
      <text>
        <r>
          <rPr>
            <sz val="10"/>
            <rFont val="Arial"/>
            <family val="2"/>
          </rPr>
          <t xml:space="preserve">FY2020: no @ HIW share pipeline row printed; 100% total carried (Midtown West is an 80% consolidated JV; all other projects wholly owned).</t>
        </r>
      </text>
    </comment>
    <comment ref="AP14" authorId="0">
      <text>
        <r>
          <rPr>
            <sz val="10"/>
            <rFont val="Arial"/>
            <family val="2"/>
          </rPr>
          <t xml:space="preserve">FY2019: no @ HIW share pipeline row printed; 100% total carried (Midtown One is an 80% consolidated JV; all other projects wholly owned).</t>
        </r>
      </text>
    </comment>
    <comment ref="AP15" authorId="0">
      <text>
        <r>
          <rPr>
            <sz val="10"/>
            <rFont val="Arial"/>
            <family val="2"/>
          </rPr>
          <t xml:space="preserve">FY2018: no @ HIW share row printed, but all pipeline projects wholly owned - 100% equals HIW share.</t>
        </r>
      </text>
    </comment>
    <comment ref="AP16" authorId="0">
      <text>
        <r>
          <rPr>
            <sz val="10"/>
            <rFont val="Arial"/>
            <family val="2"/>
          </rPr>
          <t xml:space="preserve">FY2017: no @ HIW share row printed; wholly-owned presentation - 100% equals HIW share.</t>
        </r>
      </text>
    </comment>
    <comment ref="AP17" authorId="0">
      <text>
        <r>
          <rPr>
            <sz val="10"/>
            <rFont val="Arial"/>
            <family val="2"/>
          </rPr>
          <t xml:space="preserve">FY2016: no @ HIW share row printed; wholly-owned presentation - 100% equals HIW share.</t>
        </r>
      </text>
    </comment>
    <comment ref="AR16" authorId="0">
      <text>
        <r>
          <rPr>
            <sz val="10"/>
            <rFont val="Arial"/>
            <family val="2"/>
          </rPr>
          <t xml:space="preserve">FY2017 EXCEPTION: the supplemental line 'Common dividends and unit distributions paid' (185,792) EXCLUDES the 2017 special dividend paid in connection with asset sales. Entered instead as the explicit sum of the FY2017 10-K financing lines: Dividends on Common Stock 180,805 + Special dividend on Common Stock 81,205 + Distributions to NCI in the OP 4,987 + Special distribution to NCI in the OP 2,271 = 269,268.</t>
        </r>
      </text>
    </comment>
  </commentList>
</comments>
</file>

<file path=xl/comments8.xml><?xml version="1.0" encoding="utf-8"?>
<comments xmlns="http://schemas.openxmlformats.org/spreadsheetml/2006/main" xmlns:xdr="http://schemas.openxmlformats.org/drawingml/2006/spreadsheetDrawing">
  <authors>
    <author>Unknown Author</author>
  </authors>
  <commentList>
    <comment ref="AE3" authorId="0">
      <text>
        <r>
          <rPr>
            <sz val="10"/>
            <rFont val="Arial"/>
            <family val="2"/>
          </rPr>
          <t xml:space="preserve">Chart-label helper columns (added 2026-07-24): AE = YoY growth of Annual NOI (col L); AF = YoY growth of Leveraged Property Cash Flow (col N). The two "labeled YoY growth" charts on this tab pull their bar data labels from these cells (Value From Cells). Formulas only - do not hardcode; 2016 blank by design (no prior year).</t>
        </r>
      </text>
    </comment>
  </commentList>
</comments>
</file>

<file path=xl/comments9.xml><?xml version="1.0" encoding="utf-8"?>
<comments xmlns="http://schemas.openxmlformats.org/spreadsheetml/2006/main" xmlns:xdr="http://schemas.openxmlformats.org/drawingml/2006/spreadsheetDrawing">
  <authors>
    <author>Unknown Author</author>
  </authors>
  <commentList>
    <comment ref="F33" authorId="0">
      <text>
        <r>
          <rPr>
            <sz val="10"/>
            <rFont val="Arial"/>
            <family val="2"/>
          </rPr>
          <t xml:space="preserve">w(i) = REIT i Stabilized TEV / combined Stabilized TEV, per the industrial composite method. Weights sum to 1 each year.</t>
        </r>
      </text>
    </comment>
    <comment ref="AD8" authorId="0">
      <text>
        <r>
          <rPr>
            <sz val="10"/>
            <rFont val="Arial"/>
            <family val="2"/>
          </rPr>
          <t xml:space="preserve">Composite of heterogeneous measures: BXP carries 2nd-gen NET RENT change (annual), CUZ straight-line 2nd-gen rent change (year-ended), HIW 2nd-gen GAAP rent growth (Q4 QUARTER only). Directionally comparable; see each Final tab's open items.</t>
        </r>
      </text>
    </comment>
    <comment ref="AE8" authorId="0">
      <text>
        <r>
          <rPr>
            <sz val="10"/>
            <rFont val="Arial"/>
            <family val="2"/>
          </rPr>
          <t xml:space="preserve">Composite of heterogeneous measures (all ten years populated per Chip decisions 2026-07-20): BXP in-service OCCUPANCY (all years), CUZ percent LEASED (FY2016 = same-property figure, flagged), HIW OCCUPANCY. Occupancy runs below a leased-incl-signed measure; treat levels as indicative, trends as the signal.</t>
        </r>
      </text>
    </comment>
  </commentList>
</comments>
</file>

<file path=xl/sharedStrings.xml><?xml version="1.0" encoding="utf-8"?>
<sst xmlns="http://schemas.openxmlformats.org/spreadsheetml/2006/main" count="3104" uniqueCount="713">
  <si>
    <t xml:space="preserve">Tab</t>
  </si>
  <si>
    <t xml:space="preserve">Series / Metric</t>
  </si>
  <si>
    <t xml:space="preserve">Source Organization</t>
  </si>
  <si>
    <t xml:space="preserve">Source Type</t>
  </si>
  <si>
    <t xml:space="preserve">Source Location</t>
  </si>
  <si>
    <t xml:space="preserve">Update Cadence</t>
  </si>
  <si>
    <t xml:space="preserve">Last Verified</t>
  </si>
  <si>
    <t xml:space="preserve">BXP w JV</t>
  </si>
  <si>
    <t xml:space="preserve">Annual Consolidated NOI</t>
  </si>
  <si>
    <t xml:space="preserve">BXP, Inc.</t>
  </si>
  <si>
    <t xml:space="preserve">Primary (company filings)</t>
  </si>
  <si>
    <t xml:space="preserve">FY2025 Form 10-K, MD&amp;A reconciliation of net income to Net Operating Income</t>
  </si>
  <si>
    <t xml:space="preserve">Annual</t>
  </si>
  <si>
    <t xml:space="preserve">2026-07-17</t>
  </si>
  <si>
    <t xml:space="preserve">Annual Company's-share NOI</t>
  </si>
  <si>
    <t xml:space="preserve">FY2025 Form 10-K, segment footnote reconciliation</t>
  </si>
  <si>
    <t xml:space="preserve">Q4 Consolidated NOI and Q4 BXP Share of NOI (reference; FY2016 ratio input)</t>
  </si>
  <si>
    <t xml:space="preserve">Q4 2025 Supplemental, Reconciliation of Net Income to BXP Share of NOI</t>
  </si>
  <si>
    <t xml:space="preserve">Annual Consolidated Interest Expense</t>
  </si>
  <si>
    <t xml:space="preserve">FY2025 Form 10-K, Consolidated Statements of Operations / selected data</t>
  </si>
  <si>
    <t xml:space="preserve">Q4 Consolidated Interest and Q4 BXP Share of Interest (annual share ratio)</t>
  </si>
  <si>
    <t xml:space="preserve">Q4 2025 Supplemental, Reconciliations: BXP Share of interest expense (CAUTION: columns are current vs PRIOR quarter, not year-over-year)</t>
  </si>
  <si>
    <t xml:space="preserve">Year-End Share Price; Shares/Units; Equity Value; Debt components; JV debt shares; BXP Share of Debt and of Market Capitalization</t>
  </si>
  <si>
    <t xml:space="preserve">Q4 2025 Supplemental, Capital Structure / Capitalization tables</t>
  </si>
  <si>
    <t xml:space="preserve">Land Held for Future Development; Construction in Progress (year-end)</t>
  </si>
  <si>
    <t xml:space="preserve">FY2025 Form 10-K, Real Estate footnote</t>
  </si>
  <si>
    <t xml:space="preserve">FFO attributable to Operating Partnership common unitholders</t>
  </si>
  <si>
    <t xml:space="preserve">FY2025 Form 10-K, MD&amp;A Funds from Operations reconciliation</t>
  </si>
  <si>
    <t xml:space="preserve">Net Cash Provided by Operating Activities; Dividends and Distributions paid</t>
  </si>
  <si>
    <t xml:space="preserve">FY2025 Form 10-K, Consolidated Statements of Cash Flows</t>
  </si>
  <si>
    <t xml:space="preserve">2nd-gen leases commenced (SF); Transaction Costs Per SF; Increase (Decrease) in Net Rents</t>
  </si>
  <si>
    <t xml:space="preserve">FY2025 Form 10-K, MD&amp;A annual leasing activity table</t>
  </si>
  <si>
    <t xml:space="preserve">In-service occupancy, year-end; in-service % leased incl. signed-not-commenced</t>
  </si>
  <si>
    <t xml:space="preserve">FY2025 Form 10-K, MD&amp;A occupancy discussion</t>
  </si>
  <si>
    <t xml:space="preserve">FY2024 Form 10-K, MD&amp;A reconciliation of net income to Net Operating Income</t>
  </si>
  <si>
    <t xml:space="preserve">FY2024 Form 10-K, segment footnote reconciliation</t>
  </si>
  <si>
    <t xml:space="preserve">Q4 2024 Supplemental, Reconciliation of Net Income to BXP Share of NOI</t>
  </si>
  <si>
    <t xml:space="preserve">FY2024 Form 10-K, Consolidated Statements of Operations / selected data</t>
  </si>
  <si>
    <t xml:space="preserve">Q4 2024 Supplemental, Reconciliations: BXP Share of interest expense (CAUTION: columns are current vs PRIOR quarter, not year-over-year)</t>
  </si>
  <si>
    <t xml:space="preserve">Q4 2024 Supplemental, Capital Structure / Capitalization tables</t>
  </si>
  <si>
    <t xml:space="preserve">FY2024 Form 10-K, Real Estate footnote</t>
  </si>
  <si>
    <t xml:space="preserve">FY2024 Form 10-K, MD&amp;A Funds from Operations reconciliation</t>
  </si>
  <si>
    <t xml:space="preserve">FY2024 Form 10-K, Consolidated Statements of Cash Flows</t>
  </si>
  <si>
    <t xml:space="preserve">FY2024 Form 10-K, MD&amp;A annual leasing activity table</t>
  </si>
  <si>
    <t xml:space="preserve">FY2024 Form 10-K, MD&amp;A occupancy discussion</t>
  </si>
  <si>
    <t xml:space="preserve">FY2023 Form 10-K, MD&amp;A reconciliation of net income to Net Operating Income</t>
  </si>
  <si>
    <t xml:space="preserve">FY2023 Form 10-K, non-GAAP Company share of NOI reconciliation</t>
  </si>
  <si>
    <t xml:space="preserve">Q4 2023 Supplemental, Reconciliation of Net Income to BXP Share of NOI</t>
  </si>
  <si>
    <t xml:space="preserve">FY2023 Form 10-K, Consolidated Statements of Operations / selected data</t>
  </si>
  <si>
    <t xml:space="preserve">Q4 2023 Supplemental, Reconciliations: BXP Share of interest expense (CAUTION: columns are current vs PRIOR quarter, not year-over-year)</t>
  </si>
  <si>
    <t xml:space="preserve">Q4 2023 Supplemental, Capital Structure / Capitalization tables</t>
  </si>
  <si>
    <t xml:space="preserve">FY2023 Form 10-K, Real Estate footnote</t>
  </si>
  <si>
    <t xml:space="preserve">FY2023 Form 10-K, MD&amp;A Funds from Operations reconciliation</t>
  </si>
  <si>
    <t xml:space="preserve">FY2023 Form 10-K, Consolidated Statements of Cash Flows</t>
  </si>
  <si>
    <t xml:space="preserve">FY2023 Form 10-K, MD&amp;A annual leasing activity table</t>
  </si>
  <si>
    <t xml:space="preserve">FY2023 Form 10-K, MD&amp;A occupancy discussion</t>
  </si>
  <si>
    <t xml:space="preserve">FY2022 Form 10-K, MD&amp;A reconciliation of net income to Net Operating Income</t>
  </si>
  <si>
    <t xml:space="preserve">FY2022 Form 10-K, non-GAAP Company share of NOI reconciliation</t>
  </si>
  <si>
    <t xml:space="preserve">Q4 2022 Supplemental, Reconciliation of Net Income to BXP Share of NOI</t>
  </si>
  <si>
    <t xml:space="preserve">FY2022 Form 10-K, Consolidated Statements of Operations / selected data</t>
  </si>
  <si>
    <t xml:space="preserve">Q4 2022 Supplemental, Reconciliations: BXP Share of interest expense (CAUTION: columns are current vs PRIOR quarter, not year-over-year)</t>
  </si>
  <si>
    <t xml:space="preserve">Q4 2022 Supplemental, Capital Structure / Capitalization tables</t>
  </si>
  <si>
    <t xml:space="preserve">FY2022 Form 10-K, Real Estate footnote</t>
  </si>
  <si>
    <t xml:space="preserve">FY2022 Form 10-K, MD&amp;A Funds from Operations reconciliation</t>
  </si>
  <si>
    <t xml:space="preserve">FY2022 Form 10-K, Consolidated Statements of Cash Flows</t>
  </si>
  <si>
    <t xml:space="preserve">FY2022 Form 10-K, MD&amp;A annual leasing activity table</t>
  </si>
  <si>
    <t xml:space="preserve">In-service occupancy, year-end</t>
  </si>
  <si>
    <t xml:space="preserve">Q4 2022 Supplemental, Additional Information: Occupancy of In-Service Properties</t>
  </si>
  <si>
    <t xml:space="preserve">FY2021 Form 10-K, MD&amp;A reconciliation of net income to Net Operating Income</t>
  </si>
  <si>
    <t xml:space="preserve">FY2021 Form 10-K, non-GAAP Company share of NOI reconciliation</t>
  </si>
  <si>
    <t xml:space="preserve">Q4 2021 Supplemental, Reconciliation of Net Income to BXP Share of NOI</t>
  </si>
  <si>
    <t xml:space="preserve">FY2021 Form 10-K, Consolidated Statements of Operations / selected data</t>
  </si>
  <si>
    <t xml:space="preserve">Q4 2021 Supplemental, Reconciliations: BXP Share of interest expense (CAUTION: columns are current vs PRIOR quarter, not year-over-year)</t>
  </si>
  <si>
    <t xml:space="preserve">Q4 2021 Supplemental, Capital Structure / Capitalization tables</t>
  </si>
  <si>
    <t xml:space="preserve">FY2021 Form 10-K, Real Estate footnote</t>
  </si>
  <si>
    <t xml:space="preserve">FY2021 Form 10-K, MD&amp;A Funds from Operations reconciliation</t>
  </si>
  <si>
    <t xml:space="preserve">FY2021 Form 10-K, Consolidated Statements of Cash Flows</t>
  </si>
  <si>
    <t xml:space="preserve">FY2021 Form 10-K, MD&amp;A annual leasing activity table</t>
  </si>
  <si>
    <t xml:space="preserve">Q4 2021 Supplemental, Additional Information: Occupancy of In-Service Properties</t>
  </si>
  <si>
    <t xml:space="preserve">FY2020 Form 10-K, MD&amp;A reconciliation of net income to Net Operating Income</t>
  </si>
  <si>
    <t xml:space="preserve">FY2020 Form 10-K, Selected Financial Data reconciliation</t>
  </si>
  <si>
    <t xml:space="preserve">Q4 2020 Supplemental, Reconciliation of Net Income to BXP Share of NOI</t>
  </si>
  <si>
    <t xml:space="preserve">FY2020 Form 10-K, Consolidated Statements of Operations / selected data</t>
  </si>
  <si>
    <t xml:space="preserve">Q4 2020 Supplemental, Reconciliations: BXP Share of interest expense (CAUTION: columns are current vs PRIOR quarter, not year-over-year)</t>
  </si>
  <si>
    <t xml:space="preserve">Q4 2020 Supplemental, Capital Structure / Capitalization tables</t>
  </si>
  <si>
    <t xml:space="preserve">FY2020 Form 10-K, Real Estate footnote</t>
  </si>
  <si>
    <t xml:space="preserve">FY2020 Form 10-K, MD&amp;A Funds from Operations reconciliation</t>
  </si>
  <si>
    <t xml:space="preserve">FY2020 Form 10-K, Consolidated Statements of Cash Flows</t>
  </si>
  <si>
    <t xml:space="preserve">FY2020 Form 10-K, MD&amp;A annual leasing activity table</t>
  </si>
  <si>
    <t xml:space="preserve">Q4 2020 Supplemental, Additional Information: Occupancy of In-Service Properties</t>
  </si>
  <si>
    <t xml:space="preserve">FY2019 Form 10-K, MD&amp;A reconciliation of net income to Net Operating Income</t>
  </si>
  <si>
    <t xml:space="preserve">FY2019 Form 10-K, Selected Financial Data reconciliation</t>
  </si>
  <si>
    <t xml:space="preserve">Q4 2019 Supplemental, Reconciliation of Net Income to BXP Share of NOI</t>
  </si>
  <si>
    <t xml:space="preserve">FY2019 Form 10-K, Consolidated Statements of Operations / selected data</t>
  </si>
  <si>
    <t xml:space="preserve">Q4 2019 Supplemental, Reconciliations: BXP Share of interest expense (CAUTION: columns are current vs PRIOR quarter, not year-over-year)</t>
  </si>
  <si>
    <t xml:space="preserve">Q4 2019 Supplemental, Capital Structure / Capitalization tables</t>
  </si>
  <si>
    <t xml:space="preserve">FY2019 Form 10-K, Real Estate footnote</t>
  </si>
  <si>
    <t xml:space="preserve">FY2019 Form 10-K, Selected Financial Data FFO table</t>
  </si>
  <si>
    <t xml:space="preserve">FY2019 Form 10-K, Consolidated Statements of Cash Flows</t>
  </si>
  <si>
    <t xml:space="preserve">FY2019 Form 10-K, MD&amp;A annual leasing activity table</t>
  </si>
  <si>
    <t xml:space="preserve">Q4 2019 Supplemental, Additional Information: Occupancy of In-Service Properties</t>
  </si>
  <si>
    <t xml:space="preserve">FY2018 Form 10-K, MD&amp;A reconciliation of net income to Net Operating Income</t>
  </si>
  <si>
    <t xml:space="preserve">Q4 2018 Supplemental, Reconciliation of Net Income to BXP Share of NOI</t>
  </si>
  <si>
    <t xml:space="preserve">FY2018 Form 10-K, Consolidated Statements of Operations / selected data</t>
  </si>
  <si>
    <t xml:space="preserve">Q4 2018 Supplemental, Reconciliations: BXP Share of interest expense (CAUTION: columns are current vs PRIOR quarter, not year-over-year)</t>
  </si>
  <si>
    <t xml:space="preserve">Q4 2018 Supplemental, Capital Structure / Capitalization tables</t>
  </si>
  <si>
    <t xml:space="preserve">FY2018 Form 10-K, Real Estate footnote</t>
  </si>
  <si>
    <t xml:space="preserve">FY2018 Form 10-K, Consolidated Statements of Cash Flows</t>
  </si>
  <si>
    <t xml:space="preserve">FY2018 Form 10-K, MD&amp;A annual leasing activity table</t>
  </si>
  <si>
    <t xml:space="preserve">Q4 2018 Supplemental, Additional Information: Occupancy of In-Service Properties</t>
  </si>
  <si>
    <t xml:space="preserve">FY2017 Form 10-K, MD&amp;A reconciliation of net income to Net Operating Income</t>
  </si>
  <si>
    <t xml:space="preserve">Q4 2017 Supplemental, Reconciliation of Net Income to BXP Share of NOI</t>
  </si>
  <si>
    <t xml:space="preserve">FY2017 Form 10-K, Consolidated Statements of Operations / selected data</t>
  </si>
  <si>
    <t xml:space="preserve">Q4 2017 Supplemental, Reconciliations: BXP Share of interest expense (CAUTION: columns are current vs PRIOR quarter, not year-over-year)</t>
  </si>
  <si>
    <t xml:space="preserve">Q4 2017 Supplemental, Capital Structure / Capitalization tables (2016-2017: five-quarter Capitalization table; component split from 10-K balance sheet)</t>
  </si>
  <si>
    <t xml:space="preserve">FY2017 Form 10-K, Real Estate footnote</t>
  </si>
  <si>
    <t xml:space="preserve">FY2017 Form 10-K, Consolidated Statements of Cash Flows</t>
  </si>
  <si>
    <t xml:space="preserve">FY2017 Form 10-K, MD&amp;A annual leasing activity table</t>
  </si>
  <si>
    <t xml:space="preserve">FY2017 Form 10-K, MD&amp;A occupancy discussion</t>
  </si>
  <si>
    <t xml:space="preserve">FY2016 Form 10-K, MD&amp;A reconciliation of net income to Net Operating Income</t>
  </si>
  <si>
    <t xml:space="preserve">CRE42-derived (Q4 ratio); no published annual share NOI exists for FY2016</t>
  </si>
  <si>
    <t xml:space="preserve">Q4 2016 Supplemental, Reconciliation of Net Income to BXP Share of NOI</t>
  </si>
  <si>
    <t xml:space="preserve">FY2016 Form 10-K, Consolidated Statements of Operations / selected data</t>
  </si>
  <si>
    <t xml:space="preserve">Q4 2016 Supplemental, Reconciliations: BXP Share of interest expense (CAUTION: columns are current vs PRIOR quarter, not year-over-year)</t>
  </si>
  <si>
    <t xml:space="preserve">Q4 2016 Supplemental, Capital Structure / Capitalization tables (2016-2017: five-quarter Capitalization table; component split from 10-K balance sheet)</t>
  </si>
  <si>
    <t xml:space="preserve">FY2016 Form 10-K, Real Estate footnote</t>
  </si>
  <si>
    <t xml:space="preserve">FY2016 Form 10-K, Consolidated Statements of Cash Flows</t>
  </si>
  <si>
    <t xml:space="preserve">FY2016 Form 10-K, MD&amp;A annual leasing activity table</t>
  </si>
  <si>
    <t xml:space="preserve">FY2016 Form 10-K, MD&amp;A occupancy discussion</t>
  </si>
  <si>
    <t xml:space="preserve">CoStar - US Office</t>
  </si>
  <si>
    <t xml:space="preserve">National office vacancy, occupancy, asking rent per SF and growth, net deliveries; annual</t>
  </si>
  <si>
    <t xml:space="preserve">CoStar Group</t>
  </si>
  <si>
    <t xml:space="preserve">Proprietary (licensed via MIT CRE)</t>
  </si>
  <si>
    <t xml:space="preserve">CoStar national office DataTable export; annual rows 2016-2025</t>
  </si>
  <si>
    <t xml:space="preserve">Green Street National</t>
  </si>
  <si>
    <t xml:space="preserve">Office Nominal Cap Rate (4Q), CPPI (4Q), Supply Growth, Market-RevPAF Growth; 51-market Weighted Average</t>
  </si>
  <si>
    <t xml:space="preserve">Green Street Advisors</t>
  </si>
  <si>
    <t xml:space="preserve">Green Street standardized office downloads: Market Cap Rates, CPPI, Supply Growth, Market-RevPAF Growth files; Weighted Average row</t>
  </si>
  <si>
    <t xml:space="preserve">Quarterly / Annual</t>
  </si>
  <si>
    <t xml:space="preserve">CPPI re-indexed so 4Q2016 = 100 (CRE42 derivation from the office 4Q weighted-average level). Supply Growth and RevPAF Growth 2026-2030 are Green Street forecasts.</t>
  </si>
  <si>
    <t xml:space="preserve">CRE42 derivation</t>
  </si>
  <si>
    <t xml:space="preserve">Derived (flagged)</t>
  </si>
  <si>
    <t xml:space="preserve">Green Street National tab, col F and Period Type col</t>
  </si>
  <si>
    <t xml:space="preserve">10 YR UST</t>
  </si>
  <si>
    <t xml:space="preserve">10-Yr UST Yield, year-end 2016-2025</t>
  </si>
  <si>
    <t xml:space="preserve">U.S. Federal Reserve (FRED)</t>
  </si>
  <si>
    <t xml:space="preserve">Primary (govt data)</t>
  </si>
  <si>
    <t xml:space="preserve">FRED series DGS10; carried from industrial-reit-metrics.xlsx 10 YR UST tab (verified there 2026-02-11). STORED AS TRUE FRACTIONS (source tab is percent units).</t>
  </si>
  <si>
    <t xml:space="preserve">Prime Rate</t>
  </si>
  <si>
    <t xml:space="preserve">Bank Prime Loan Rate, annual average, NSA</t>
  </si>
  <si>
    <t xml:space="preserve">Board of Governors of the Federal Reserve System (via FRED)</t>
  </si>
  <si>
    <t xml:space="preserve">Primary (govt data, via FRED)</t>
  </si>
  <si>
    <t xml:space="preserve">FRED series MPRIME; carried from industrial-reit-metrics.xlsx Prime Rate tab. STORED AS TRUE FRACTIONS (source tab is percent units).</t>
  </si>
  <si>
    <t xml:space="preserve">Inflation</t>
  </si>
  <si>
    <t xml:space="preserve">CPI, All Urban Consumers (CPIAUCSL); PPI New Nonresidential Building Construction (WPU801), annual</t>
  </si>
  <si>
    <t xml:space="preserve">U.S. Bureau of Labor Statistics (via FRED)</t>
  </si>
  <si>
    <t xml:space="preserve">FRED series CPIAUCSL and WPU801; carried verbatim from industrial-reit-metrics.xlsx Inflation tab.</t>
  </si>
  <si>
    <t xml:space="preserve">METHODOLOGY FLAG (CRE42-DERIVED): FY2016 annual share NOI only = FY2016 consolidated NOI x (Q4 2016 share / Q4 2016 consolidated). BXP did not publish annual share NOI before FY2017; FY2017-2025 use the published figure. Ratio-vs-published gap on overlap years ran -2.96% to +1.20% (worst 2020). Approved by Chip 2026-07-17.</t>
  </si>
  <si>
    <t xml:space="preserve">BXP w JV tab, col B, 2016 row</t>
  </si>
  <si>
    <t xml:space="preserve">METHODOLOGY FLAG (CRE42-DERIVED): Annual share-basis interest (col C, all years) = annual consolidated interest x (Q4 share / Q4 consolidated). BXP publishes share-basis interest quarterly only. Ratio range 0.858 (2016) to 1.079 (2022). Approved by Chip 2026-07-17.</t>
  </si>
  <si>
    <t xml:space="preserve">BXP w JV tab, derivation block</t>
  </si>
  <si>
    <t xml:space="preserve">METHODOLOGY FLAG (CRE42-DERIVED): 2nd-Gen TILC = annual 2nd-gen SF commenced x transaction costs per SF (10-K annual leasing table). COMMITMENT basis, 100% portfolio incl. unconsolidated JVs. Estimated AFFO = share-basis FFO less this 100%-basis TILC; deliberately conservative. Approved by Chip 2026-07-17 (lumpy accepted).</t>
  </si>
  <si>
    <t xml:space="preserve">BXP w JV and BXP Final tabs</t>
  </si>
  <si>
    <t xml:space="preserve">BXP Final</t>
  </si>
  <si>
    <t xml:space="preserve">MAPPING NOTE vs industrial tabs (EGP/FR/STAG): col F carries shares PLUS OP/LTIP units (BXP is an UPREIT; the industrial REITs are not). Col I carries construction in progress (BXP has no "value add" category). Col M "LOANS PAYABLE" carries BXP-share mortgage/secured debt = consolidated mortgage less partners share of consolidated JV debt plus BXP share of unconsolidated JV debt; col L carries unsecured principal plus discount/DFC. Col O therefore ties to BXP published Share of Debt plus preferred.</t>
  </si>
  <si>
    <t xml:space="preserve">CRE42 note</t>
  </si>
  <si>
    <t xml:space="preserve">Note</t>
  </si>
  <si>
    <t xml:space="preserve">OPEN ITEM (col R): the industrial tabs carry CORE FFO. BXP does not report a Core FFO measure; col R carries FFO attributable to OP common unitholders. Not like-for-like with EGP/FR/STAG Core FFO. Awaiting Chip decision.</t>
  </si>
  <si>
    <t xml:space="preserve">Open item</t>
  </si>
  <si>
    <t xml:space="preserve">OPEN ITEM (cols S, T): BXP does not disclose TI and LC separately; it reports 2nd-generation tenant improvements AND leasing commissions combined, and annual total transaction costs per SF. Cols S and T therefore cannot be populated; col U (TILC) is populated directly rather than as S+T. Awaiting Chip decision.</t>
  </si>
  <si>
    <t xml:space="preserve">OPEN ITEM (col AD): the industrial tabs carry rental rate change, new &amp; renewal, straight-line YTD. BXP discloses increase (decrease) in NET RENTS on 2nd-generation leases commencing in the year (cash basis, gross rent less operating expenses). Carried in col AD but NOT the same basis as the industrial measure. Awaiting Chip decision.</t>
  </si>
  <si>
    <t xml:space="preserve">OPEN ITEM (col AE): BXP discloses in-service % leased (incl. signed-not-commenced) only from FY2023 forward; FY2016-2022 marked n/d. BXP DOES disclose in-service occupancy for every year (carried on BXP w JV col AG). Decision needed: leave col AE with 7 gaps, or carry occupancy in col AE with a definitional note. Awaiting Chip decision.</t>
  </si>
  <si>
    <t xml:space="preserve">OPEN ITEM (cols AF, AG): WALT pending. BXP supplementals publish a Lease Expiration Roll-Out (SF and annualized rental obligations by expiration year), so a WALT_Calc_BXP tab is buildable. BLOCKER: BXP schedules carry a large THEREAFTER bucket (approx. 27% of SF at FY2016) with no expiration year, which the EastGroup method does not face. Treatment must be decided before WALT is computed. Awaiting Chip decision.</t>
  </si>
  <si>
    <t xml:space="preserve">BXP vs Market</t>
  </si>
  <si>
    <t xml:space="preserve">FULLY POPULATED (2026-07-17). Green Street cols T, U, Y, AC from the Green Street National tab. CoStar cols G (vacancy), H (asking rent growth), I (deliveries % inventory), X (asking rent index), Z (occupancy change), AA (asking rent $/SF), AB (occupancy) from the CoStar - US Office tab. No office market columns remain pending.</t>
  </si>
  <si>
    <t xml:space="preserve">CoStar; Green Street</t>
  </si>
  <si>
    <t xml:space="preserve">Proprietary (loaded)</t>
  </si>
  <si>
    <t xml:space="preserve">Loaded</t>
  </si>
  <si>
    <t xml:space="preserve">Cols A-F, J-S, V, W are fully populated from BXP Final plus the FRED macro tabs.</t>
  </si>
  <si>
    <t xml:space="preserve">Composite</t>
  </si>
  <si>
    <t xml:space="preserve">PROJECT DECISION (Chip, 2026-07-17): office composite to be EQUAL-WEIGHTED across component REITs. Component set pending final confirmation.</t>
  </si>
  <si>
    <t xml:space="preserve">All tabs</t>
  </si>
  <si>
    <t xml:space="preserve">FORMAT DECISION (Chip, 2026-07-17): all dollar figures to zero decimals; shares/units, multiples (x), and percentages retain decimals. Year-end share price retained at 2 decimals so that market cap remains hand-reproducible (price x units); WALT retained at 2 decimals. Both exceptions flagged for confirmation.</t>
  </si>
  <si>
    <t xml:space="preserve">CUZ Final</t>
  </si>
  <si>
    <t xml:space="preserve">FY Total NOI and Total Interest Expense, Cousins' share</t>
  </si>
  <si>
    <t xml:space="preserve">Cousins Properties Incorporated</t>
  </si>
  <si>
    <t xml:space="preserve">Q4 2025 Supplemental, Funds From Operations - Detail (Total Net Operating Income; Total Interest Expense, net of capitalized, incl. unconsolidated at share)</t>
  </si>
  <si>
    <t xml:space="preserve">2026-07-20</t>
  </si>
  <si>
    <t xml:space="preserve">Year-end share price; common stock/units outstanding; Equity Market Capitalization; published Debt (Company share)</t>
  </si>
  <si>
    <t xml:space="preserve">Q4 2025 Supplemental, Key Performance Metrics - Market Capitalization block</t>
  </si>
  <si>
    <t xml:space="preserve">Unsecured and secured debt by line (net Total column, Company share)</t>
  </si>
  <si>
    <t xml:space="preserve">Q4 2025 Supplemental, Debt Schedule - Company's Share of Debt Maturities and Principal Payments (component lines in cell comments, cols AT/AU)</t>
  </si>
  <si>
    <t xml:space="preserve">Land Inventory, Company's share cost basis</t>
  </si>
  <si>
    <t xml:space="preserve">Q4 2025 Supplemental, Land Inventory</t>
  </si>
  <si>
    <t xml:space="preserve">Development Pipeline, Company's share of project cost incurred to date</t>
  </si>
  <si>
    <t xml:space="preserve">Q4 2025 Supplemental, Development Pipeline</t>
  </si>
  <si>
    <t xml:space="preserve">FFO (NAREIT); Second Generation Leasing Related Costs</t>
  </si>
  <si>
    <t xml:space="preserve">Q4 2025 Supplemental, FFO - Summary/Detail; Non-GAAP Calculations and Reconciliations (FAD), 2nd Generation CAPEX block</t>
  </si>
  <si>
    <t xml:space="preserve">Straight-line 2nd-gen net rent change (YTD); office percent leased (period end); W.A. occupancy</t>
  </si>
  <si>
    <t xml:space="preserve">Q4 2025 Supplemental, Office Leasing Activity; Key Performance Metrics / Portfolio Statistics</t>
  </si>
  <si>
    <t xml:space="preserve">Net cash provided by operating activities; common dividends paid</t>
  </si>
  <si>
    <t xml:space="preserve">Q4 2024 Supplemental, Funds From Operations - Detail (Total Net Operating Income; Total Interest Expense, net of capitalized, incl. unconsolidated at share)</t>
  </si>
  <si>
    <t xml:space="preserve">Q4 2024 Supplemental, Key Performance Metrics - Market Capitalization block</t>
  </si>
  <si>
    <t xml:space="preserve">Q4 2024 Supplemental, Debt Schedule - Company's Share of Debt Maturities and Principal Payments (component lines in cell comments, cols AT/AU)</t>
  </si>
  <si>
    <t xml:space="preserve">Q4 2024 Supplemental, Land Inventory</t>
  </si>
  <si>
    <t xml:space="preserve">Q4 2024 Supplemental, Development Pipeline</t>
  </si>
  <si>
    <t xml:space="preserve">Q4 2024 Supplemental, FFO - Summary/Detail; Non-GAAP Calculations and Reconciliations (FAD), 2nd Generation CAPEX block</t>
  </si>
  <si>
    <t xml:space="preserve">Q4 2024 Supplemental, Office Leasing Activity; Key Performance Metrics / Portfolio Statistics</t>
  </si>
  <si>
    <t xml:space="preserve">Q4 2023 Supplemental, Funds From Operations - Detail (Total Net Operating Income; Total Interest Expense, net of capitalized, incl. unconsolidated at share)</t>
  </si>
  <si>
    <t xml:space="preserve">Q4 2023 Supplemental, Key Performance Metrics - Market Capitalization block</t>
  </si>
  <si>
    <t xml:space="preserve">Q4 2023 Supplemental, Debt Schedule - Company's Share of Debt Maturities and Principal Payments (component lines in cell comments, cols AT/AU)</t>
  </si>
  <si>
    <t xml:space="preserve">Q4 2023 Supplemental, Land Inventory</t>
  </si>
  <si>
    <t xml:space="preserve">Q4 2023 Supplemental, Development Pipeline</t>
  </si>
  <si>
    <t xml:space="preserve">Q4 2023 Supplemental, FFO - Summary/Detail; Non-GAAP Calculations and Reconciliations (FAD), 2nd Generation CAPEX block</t>
  </si>
  <si>
    <t xml:space="preserve">Q4 2023 Supplemental, Office Leasing Activity; Key Performance Metrics / Portfolio Statistics</t>
  </si>
  <si>
    <t xml:space="preserve">Q4 2022 Supplemental, Funds From Operations - Detail (Total Net Operating Income; Total Interest Expense, net of capitalized, incl. unconsolidated at share)</t>
  </si>
  <si>
    <t xml:space="preserve">Q4 2022 Supplemental, Key Performance Metrics - Market Capitalization block</t>
  </si>
  <si>
    <t xml:space="preserve">Q4 2022 Supplemental, Debt Schedule - Company's Share of Debt Maturities and Principal Payments (component lines in cell comments, cols AT/AU)</t>
  </si>
  <si>
    <t xml:space="preserve">Q4 2022 Supplemental, Land Inventory</t>
  </si>
  <si>
    <t xml:space="preserve">Q4 2022 Supplemental, Development Pipeline</t>
  </si>
  <si>
    <t xml:space="preserve">Q4 2022 Supplemental, FFO - Summary/Detail; Non-GAAP Calculations and Reconciliations (FAD), 2nd Generation CAPEX block</t>
  </si>
  <si>
    <t xml:space="preserve">Q4 2022 Supplemental, Office Leasing Activity; Key Performance Metrics / Portfolio Statistics</t>
  </si>
  <si>
    <t xml:space="preserve">Q4 2021 Supplemental, Funds From Operations - Detail (Total Net Operating Income; Total Interest Expense, net of capitalized, incl. unconsolidated at share)</t>
  </si>
  <si>
    <t xml:space="preserve">Q4 2021 Supplemental, Key Performance Metrics - Market Capitalization block</t>
  </si>
  <si>
    <t xml:space="preserve">Q4 2021 Supplemental, Debt Schedule - Company's Share of Debt Maturities and Principal Payments (component lines in cell comments, cols AT/AU)</t>
  </si>
  <si>
    <t xml:space="preserve">Q4 2021 Supplemental, Land Inventory</t>
  </si>
  <si>
    <t xml:space="preserve">Q4 2021 Supplemental, Development Pipeline</t>
  </si>
  <si>
    <t xml:space="preserve">Q4 2021 Supplemental, FFO - Summary/Detail; Non-GAAP Calculations and Reconciliations (FAD), 2nd Generation CAPEX block</t>
  </si>
  <si>
    <t xml:space="preserve">Q4 2021 Supplemental, Office Leasing Activity; Key Performance Metrics / Portfolio Statistics</t>
  </si>
  <si>
    <t xml:space="preserve">Q4 2020 Supplemental, Funds From Operations - Detail (Total Net Operating Income; Total Interest Expense, net of capitalized, incl. unconsolidated at share)</t>
  </si>
  <si>
    <t xml:space="preserve">Q4 2020 Supplemental, Key Performance Metrics - Market Capitalization block</t>
  </si>
  <si>
    <t xml:space="preserve">Q4 2020 Supplemental, Debt Schedule - Company's Share of Debt Maturities and Principal Payments (component lines in cell comments, cols AT/AU)</t>
  </si>
  <si>
    <t xml:space="preserve">Q4 2020 Supplemental, Land Inventory</t>
  </si>
  <si>
    <t xml:space="preserve">Q4 2020 Supplemental, Development Pipeline</t>
  </si>
  <si>
    <t xml:space="preserve">Q4 2020 Supplemental, FFO - Summary/Detail; Non-GAAP Calculations and Reconciliations (FAD), 2nd Generation CAPEX block</t>
  </si>
  <si>
    <t xml:space="preserve">Q4 2020 Supplemental, Office Leasing Activity; Key Performance Metrics / Portfolio Statistics</t>
  </si>
  <si>
    <t xml:space="preserve">Q4 2019 Supplemental, Funds From Operations - Detail (Total Net Operating Income; Total Interest Expense, net of capitalized, incl. unconsolidated at share)</t>
  </si>
  <si>
    <t xml:space="preserve">Q4 2019 Supplemental, Key Performance Metrics - Market Capitalization block</t>
  </si>
  <si>
    <t xml:space="preserve">Q4 2019 Supplemental, Debt Schedule - Company's Share of Debt Maturities and Principal Payments (component lines in cell comments, cols AT/AU)</t>
  </si>
  <si>
    <t xml:space="preserve">Q4 2019 Supplemental, Land Inventory</t>
  </si>
  <si>
    <t xml:space="preserve">Q4 2019 Supplemental, Development Pipeline</t>
  </si>
  <si>
    <t xml:space="preserve">Q4 2019 Supplemental, FFO - Summary/Detail; Non-GAAP Calculations and Reconciliations (FAD), 2nd Generation CAPEX block (FY2019 FFO includes $52.9M TIER transaction costs)</t>
  </si>
  <si>
    <t xml:space="preserve">Q4 2019 Supplemental, Office Leasing Activity; Key Performance Metrics / Portfolio Statistics</t>
  </si>
  <si>
    <t xml:space="preserve">Q4 2018 Supplemental, Funds From Operations - Detail (Total Net Operating Income; Total Interest Expense, net of capitalized, incl. unconsolidated at share)</t>
  </si>
  <si>
    <t xml:space="preserve">Q4 2018 Supplemental, Key Performance Metrics - Market Capitalization block</t>
  </si>
  <si>
    <t xml:space="preserve">Q4 2018 Supplemental, Debt Schedule - Company's Share of Debt Maturities and Principal Payments (component lines in cell comments, cols AT/AU)</t>
  </si>
  <si>
    <t xml:space="preserve">Q4 2018 Supplemental, Land Inventory</t>
  </si>
  <si>
    <t xml:space="preserve">Q4 2018 Supplemental, Development Pipeline</t>
  </si>
  <si>
    <t xml:space="preserve">Q4 2018 Supplemental, FFO - Summary/Detail; Non-GAAP Calculations and Reconciliations (FAD), 2nd Generation CAPEX block</t>
  </si>
  <si>
    <t xml:space="preserve">Q4 2018 Supplemental, Office Leasing Activity; Key Performance Metrics / Portfolio Statistics</t>
  </si>
  <si>
    <t xml:space="preserve">Q4 2017 Supplemental, Funds From Operations - Detail (Total Net Operating Income; Total Interest Expense, net of capitalized, incl. unconsolidated at share)</t>
  </si>
  <si>
    <t xml:space="preserve">Q4 2017 Supplemental, Key Performance Metrics - Market Capitalization block</t>
  </si>
  <si>
    <t xml:space="preserve">Q4 2017 Supplemental, Debt Schedule - Company's Share of Debt Maturities and Principal Payments (component lines in cell comments, cols AT/AU)</t>
  </si>
  <si>
    <t xml:space="preserve">Q4 2017 Supplemental, Land Inventory</t>
  </si>
  <si>
    <t xml:space="preserve">Q4 2017 Supplemental, Development Pipeline</t>
  </si>
  <si>
    <t xml:space="preserve">Q4 2017 Supplemental, FFO - Summary/Detail; Non-GAAP Calculations and Reconciliations (FAD), 2nd Generation CAPEX block</t>
  </si>
  <si>
    <t xml:space="preserve">Q4 2017 Supplemental, Office Leasing Activity; Key Performance Metrics / Portfolio Statistics</t>
  </si>
  <si>
    <t xml:space="preserve">Q4 2016 Supplemental, Funds From Operations - Detail (Total Net Operating Income; Total Interest Expense, net of capitalized, incl. unconsolidated at share)</t>
  </si>
  <si>
    <t xml:space="preserve">Q4 2016 Supplemental, Key Performance Metrics - Market Capitalization block</t>
  </si>
  <si>
    <t xml:space="preserve">Q4 2016 Supplemental, Debt Schedule - Company's Share of Debt Maturities and Principal Payments (component lines in cell comments, cols AT/AU)</t>
  </si>
  <si>
    <t xml:space="preserve">Q4 2016 Supplemental, Land Inventory (FY2016: grand total Company share incl. residential land)</t>
  </si>
  <si>
    <t xml:space="preserve">Q4 2016 Supplemental, Development Pipeline (FY2016 EXCEPTION: printed at 100% basis only; entered as printed and flagged)</t>
  </si>
  <si>
    <t xml:space="preserve">Q4 2016 Supplemental, FFO - Summary/Detail; Non-GAAP Calculations and Reconciliations (FAD), 2nd Generation CAPEX block</t>
  </si>
  <si>
    <t xml:space="preserve">Q4 2016 Supplemental, Office Leasing Activity; Key Performance Metrics / Portfolio Statistics (percent leased &amp; occupancy chart-only this vintage: n/d)</t>
  </si>
  <si>
    <t xml:space="preserve">FY2016 Form 10-K, Consolidated Statements of Cash Flows (Q4 2016 dividend paid Jan 2017)</t>
  </si>
  <si>
    <t xml:space="preserve">METHODOLOGY (CHIP DECISION 2026-07-20): H/I sourced at COMPANY SHARE from supplemental Land Inventory and Development Pipeline (captures unconsolidated Neuhoff), not the consolidated balance sheet; differs from BXP treatment, which BXP's disclosure forced.</t>
  </si>
  <si>
    <t xml:space="preserve">CUZ Final tab, cols H, I and AM, AN</t>
  </si>
  <si>
    <t xml:space="preserve">METHODOLOGY (CHIP DECISION 2026-07-20): TILC (col U) = 'Second Generation Leasing Related Costs' - actual 12-mo spend at Company share, leasing-related only (excl. building improvements). TI/LC not split: S, T n/d (STAG-style combined treatment).</t>
  </si>
  <si>
    <t xml:space="preserve">CUZ Final tab, cols S, T, U and AL</t>
  </si>
  <si>
    <t xml:space="preserve">OPEN ITEM (col R): NAREIT FFO carried; CUZ reports no Core FFO. Not like-for-like with EGP/FR/STAG Core FFO (same caveat as BXP).</t>
  </si>
  <si>
    <t xml:space="preserve">NOTE (col N): limited voting preferred (2016-2019, Parkway-merger artifact, no dividend/distribution rights) is non-economic and NOT treated as debt; N = 0 all years. Redeemed 1Q2020.</t>
  </si>
  <si>
    <t xml:space="preserve">NOTE (cols E, F): 1-for-4 reverse split June 2019 (TIER merger). FY2016-2018 prices/counts pre-split as reported in each vintage; market cap unaffected; E/F not split-adjusted across years.</t>
  </si>
  <si>
    <t xml:space="preserve">OPEN ITEM (cols AF, AG): WALT pending - same Thereafter-bucket blocker as BXP.</t>
  </si>
  <si>
    <t xml:space="preserve">TIE-OUTS: cols AV (debt vs published Company-share Debt) and AW (market cap vs published Equity Market Capitalization) tie to zero within $1K rounding, all ten years (FY2020 -1 from rounding internal to CUZ's own schedule).</t>
  </si>
  <si>
    <t xml:space="preserve">CUZ Final tab, cols AV, AW</t>
  </si>
  <si>
    <t xml:space="preserve">CUZ vs Market</t>
  </si>
  <si>
    <t xml:space="preserve">FULLY POPULATED (2026-07-20). All cells formula-derived from CUZ Final plus the CoStar, Green Street, and FRED macro tabs already in this workbook; column structure mirrors BXP vs Market exactly.</t>
  </si>
  <si>
    <t xml:space="preserve">CoStar; Green Street; FRED</t>
  </si>
  <si>
    <t xml:space="preserve">Proprietary / govt (loaded)</t>
  </si>
  <si>
    <t xml:space="preserve">EXTRACTION NOTE: Land Inventory pages 2021-2023 carry a stale hidden text layer (stray token 159351); figures verified against rendered PDF pages (166,267 / 159,710 / 156,008).</t>
  </si>
  <si>
    <t xml:space="preserve">HIW Final</t>
  </si>
  <si>
    <t xml:space="preserve">Rental and other revenues; rental property and other expenses (NOI components); consolidated interest expense</t>
  </si>
  <si>
    <t xml:space="preserve">Highwoods Properties, Inc.</t>
  </si>
  <si>
    <t xml:space="preserve">Q4 2025 Supplemental, Consolidated Statements of Income, Year Ended column</t>
  </si>
  <si>
    <t xml:space="preserve">Year-end stock price; common stock + units outstanding; market value of common equity; preferred at liquidation value</t>
  </si>
  <si>
    <t xml:space="preserve">Q4 2025 Supplemental, Capitalization page</t>
  </si>
  <si>
    <t xml:space="preserve">FFO available for common stockholders; 2nd generation TI and LC (actual spend); common dividends and unit distributions paid</t>
  </si>
  <si>
    <t xml:space="preserve">Q4 2025 Supplemental, Funds from Operations and Additional Information page</t>
  </si>
  <si>
    <t xml:space="preserve">Unsecured debt total and secured mortgages (principal); published Total debt</t>
  </si>
  <si>
    <t xml:space="preserve">Q4 2025 Supplemental, Mortgages and Notes Payable Summary, Balances Outstanding</t>
  </si>
  <si>
    <t xml:space="preserve">Land held for development (balance sheet); development pipeline investment to date</t>
  </si>
  <si>
    <t xml:space="preserve">Q4 2025 Supplemental, Consolidated Balance Sheets; Development Activity page (@ HIW share row)</t>
  </si>
  <si>
    <t xml:space="preserve">Year-end portfolio occupancy; Q4 2nd-gen office GAAP rent growth (quarterly)</t>
  </si>
  <si>
    <t xml:space="preserve">Q4 2025 Supplemental, Summary page (i) / Occupancy Trends; no year-ended rent-growth figure published - Q4-quarter figure carried, flagged</t>
  </si>
  <si>
    <t xml:space="preserve">Net cash provided by operating activities</t>
  </si>
  <si>
    <t xml:space="preserve">FY2025 Form 10-K, Consolidated Statements of Cash Flows (Highwoods Properties, Inc.)</t>
  </si>
  <si>
    <t xml:space="preserve">Q4 2024 Supplemental, Consolidated Statements of Income, Year Ended column</t>
  </si>
  <si>
    <t xml:space="preserve">Q4 2024 Supplemental, Capitalization page</t>
  </si>
  <si>
    <t xml:space="preserve">Q4 2024 Supplemental, Funds from Operations and Additional Information page</t>
  </si>
  <si>
    <t xml:space="preserve">Q4 2024 Supplemental, Mortgages and Notes Payable Summary, Balances Outstanding</t>
  </si>
  <si>
    <t xml:space="preserve">Q4 2024 Supplemental, Consolidated Balance Sheets; Development Activity page (@ HIW share row)</t>
  </si>
  <si>
    <t xml:space="preserve">Q4 2024 Supplemental, Summary page (i) / Occupancy Trends; no year-ended rent-growth figure published - Q4-quarter figure carried, flagged</t>
  </si>
  <si>
    <t xml:space="preserve">FY2024 Form 10-K, Consolidated Statements of Cash Flows (Highwoods Properties, Inc.)</t>
  </si>
  <si>
    <t xml:space="preserve">Q4 2023 Supplemental, Consolidated Statements of Income, Year Ended column</t>
  </si>
  <si>
    <t xml:space="preserve">Q4 2023 Supplemental, Capitalization page</t>
  </si>
  <si>
    <t xml:space="preserve">Q4 2023 Supplemental, Funds from Operations and Additional Information page</t>
  </si>
  <si>
    <t xml:space="preserve">Q4 2023 Supplemental, Mortgages and Notes Payable Summary, Balances Outstanding</t>
  </si>
  <si>
    <t xml:space="preserve">Q4 2023 Supplemental, Consolidated Balance Sheets; Development Activity page (@ HIW share row)</t>
  </si>
  <si>
    <t xml:space="preserve">Q4 2023 Supplemental, Summary page (i) / Occupancy Trends; no year-ended rent-growth figure published - Q4-quarter figure carried, flagged</t>
  </si>
  <si>
    <t xml:space="preserve">FY2023 Form 10-K, Consolidated Statements of Cash Flows (Highwoods Properties, Inc.)</t>
  </si>
  <si>
    <t xml:space="preserve">Q4 2022 Supplemental, Consolidated Statements of Income, Year Ended column</t>
  </si>
  <si>
    <t xml:space="preserve">Q4 2022 Supplemental, Capitalization page</t>
  </si>
  <si>
    <t xml:space="preserve">Q4 2022 Supplemental, Funds from Operations and Additional Information page</t>
  </si>
  <si>
    <t xml:space="preserve">Q4 2022 Supplemental, Mortgages and Notes Payable Summary, Balances Outstanding</t>
  </si>
  <si>
    <t xml:space="preserve">Q4 2022 Supplemental, Consolidated Balance Sheets; Development Activity page (@ HIW share row)</t>
  </si>
  <si>
    <t xml:space="preserve">Q4 2022 Supplemental, Summary page (i) / Occupancy Trends; no year-ended rent-growth figure published - Q4-quarter figure carried, flagged</t>
  </si>
  <si>
    <t xml:space="preserve">FY2022 Form 10-K, Consolidated Statements of Cash Flows (Highwoods Properties, Inc.)</t>
  </si>
  <si>
    <t xml:space="preserve">Q4 2021 Supplemental, Consolidated Statements of Income, Year Ended column</t>
  </si>
  <si>
    <t xml:space="preserve">Q4 2021 Supplemental, Capitalization page</t>
  </si>
  <si>
    <t xml:space="preserve">Q4 2021 Supplemental, Funds from Operations and Additional Information page</t>
  </si>
  <si>
    <t xml:space="preserve">Q4 2021 Supplemental, Mortgages and Notes Payable Summary, Balances Outstanding</t>
  </si>
  <si>
    <t xml:space="preserve">Q4 2021 Supplemental, Consolidated Balance Sheets; Development Activity page (100% basis; no @-share row printed this vintage - flagged)</t>
  </si>
  <si>
    <t xml:space="preserve">Q4 2021 Supplemental, Summary page (i) / Occupancy Trends; no year-ended rent-growth figure published - Q4-quarter figure carried, flagged</t>
  </si>
  <si>
    <t xml:space="preserve">FY2021 Form 10-K, Consolidated Statements of Cash Flows (Highwoods Properties, Inc.)</t>
  </si>
  <si>
    <t xml:space="preserve">Q4 2020 Supplemental, Consolidated Statements of Income, Year Ended column</t>
  </si>
  <si>
    <t xml:space="preserve">Q4 2020 Supplemental, Capitalization page</t>
  </si>
  <si>
    <t xml:space="preserve">Q4 2020 Supplemental, Funds from Operations and Additional Information page</t>
  </si>
  <si>
    <t xml:space="preserve">Q4 2020 Supplemental, Mortgages and Notes Payable Summary, Balances Outstanding</t>
  </si>
  <si>
    <t xml:space="preserve">Q4 2020 Supplemental, Consolidated Balance Sheets; Development Activity page (100% basis; no @-share row printed this vintage - flagged)</t>
  </si>
  <si>
    <t xml:space="preserve">Q4 2020 Supplemental, Summary page (i) / Occupancy Trends; no year-ended rent-growth figure published - Q4-quarter figure carried, flagged</t>
  </si>
  <si>
    <t xml:space="preserve">FY2020 Form 10-K, Consolidated Statements of Cash Flows (Highwoods Properties, Inc.)</t>
  </si>
  <si>
    <t xml:space="preserve">Q4 2019 Supplemental, Consolidated Statements of Income, Year Ended column</t>
  </si>
  <si>
    <t xml:space="preserve">Q4 2019 Supplemental, Capitalization page</t>
  </si>
  <si>
    <t xml:space="preserve">Q4 2019 Supplemental, Funds from Operations and Additional Information page</t>
  </si>
  <si>
    <t xml:space="preserve">Q4 2019 Supplemental, Mortgages and Notes Payable Summary, Balances Outstanding</t>
  </si>
  <si>
    <t xml:space="preserve">Q4 2019 Supplemental, Consolidated Balance Sheets; Development Activity page (100% basis; no @-share row printed this vintage - flagged)</t>
  </si>
  <si>
    <t xml:space="preserve">Q4 2019 Supplemental, Summary page (i) / Occupancy Trends; no year-ended rent-growth figure published - Q4-quarter figure carried, flagged</t>
  </si>
  <si>
    <t xml:space="preserve">FY2019 Form 10-K, Consolidated Statements of Cash Flows (Highwoods Properties, Inc.)</t>
  </si>
  <si>
    <t xml:space="preserve">Q4 2018 Supplemental, Consolidated Statements of Income, Year Ended column</t>
  </si>
  <si>
    <t xml:space="preserve">Q4 2018 Supplemental, Capitalization page (older-vintage labels: Stock price at period end / Total Common Shares and Units outstanding / Market value of common equity)</t>
  </si>
  <si>
    <t xml:space="preserve">Q4 2018 Supplemental, Funds from Operations and Additional Information page</t>
  </si>
  <si>
    <t xml:space="preserve">Q4 2018 Supplemental, Mortgages and Notes Payable Summary, Balances Outstanding</t>
  </si>
  <si>
    <t xml:space="preserve">Q4 2018 Supplemental, Consolidated Balance Sheets; Development Activity page (100% basis; no @-share row printed this vintage - flagged)</t>
  </si>
  <si>
    <t xml:space="preserve">Q4 2018 Supplemental, Summary page (i) / Occupancy Trends; no year-ended rent-growth figure published - Q4-quarter figure carried, flagged</t>
  </si>
  <si>
    <t xml:space="preserve">FY2018 Form 10-K, Consolidated Statements of Cash Flows (Highwoods Properties, Inc.)</t>
  </si>
  <si>
    <t xml:space="preserve">Q4 2017 Supplemental, Consolidated Statements of Income, Year Ended column</t>
  </si>
  <si>
    <t xml:space="preserve">Q4 2017 Supplemental, Capitalization page (older-vintage labels: Stock price at period end / Total Common Shares and Units outstanding / Market value of common equity)</t>
  </si>
  <si>
    <t xml:space="preserve">Q4 2017 Supplemental, Funds from Operations and Additional Information page (FY2017 distributions entered as explicit 10-K sum incl. special dividend; see cell note)</t>
  </si>
  <si>
    <t xml:space="preserve">Q4 2017 Supplemental, Mortgages and Notes Payable Summary, Balances Outstanding</t>
  </si>
  <si>
    <t xml:space="preserve">Q4 2017 Supplemental, Consolidated Balance Sheets; Development Activity page (100% basis; no @-share row printed this vintage - flagged)</t>
  </si>
  <si>
    <t xml:space="preserve">Q4 2017 Supplemental, Summary page (i) / Occupancy Trends; no year-ended rent-growth figure published - Q4-quarter figure carried, flagged</t>
  </si>
  <si>
    <t xml:space="preserve">FY2017 Form 10-K, Consolidated Statements of Cash Flows (Highwoods Properties, Inc.)</t>
  </si>
  <si>
    <t xml:space="preserve">Q4 2016 Supplemental, Consolidated Statements of Income, Year Ended column</t>
  </si>
  <si>
    <t xml:space="preserve">Q4 2016 Supplemental, Capitalization page (older-vintage labels: Stock price at period end / Total Common Shares and Units outstanding / Market value of common equity)</t>
  </si>
  <si>
    <t xml:space="preserve">Q4 2016 Supplemental, Funds from Operations and Additional Information page</t>
  </si>
  <si>
    <t xml:space="preserve">Q4 2016 Supplemental, Mortgages and Notes Payable Summary, Balances Outstanding</t>
  </si>
  <si>
    <t xml:space="preserve">Q4 2016 Supplemental, Consolidated Balance Sheets; Development Activity page (100% basis; no @-share row printed this vintage - flagged)</t>
  </si>
  <si>
    <t xml:space="preserve">Q4 2016 Supplemental, Summary page (i) / Occupancy Trends; no year-ended rent-growth figure published - Q4-quarter figure carried, flagged</t>
  </si>
  <si>
    <t xml:space="preserve">FY2016 Form 10-K, Consolidated Statements of Cash Flows (Highwoods Properties, Inc.)</t>
  </si>
  <si>
    <t xml:space="preserve">METHODOLOGY (CHIP DECISION 2026-07-20): CONSOLIDATED BASIS - HIW publishes no share-basis annual NOI/interest/debt; unconsolidated JV share (~2-4% of NOI) excluded; partner's 20% of consolidated Midtown West JV included. NOI entered as explicit difference of the two as-filed income statement lines.</t>
  </si>
  <si>
    <t xml:space="preserve">HIW Final tab, cols B, C, L, M and AI-AK</t>
  </si>
  <si>
    <t xml:space="preserve">METHODOLOGY (CHIP DECISION 2026-07-20): AE carries year-end OCCUPANCY (leased-% not disclosed), flagged; runs below a leased-incl-signed measure.</t>
  </si>
  <si>
    <t xml:space="preserve">HIW Final tab, col AE</t>
  </si>
  <si>
    <t xml:space="preserve">NOTE (col N): 8.625% Series A preferred at liquidation value treated as debt (BXP-parallel). R carries FFO available for common stockholders (after preferred dividends, consistent with preferred-as-debt); no Core FFO reported.</t>
  </si>
  <si>
    <t xml:space="preserve">NOTE (cols S/T/U): 2nd-gen TI and LC disclosed separately as actual spend - only office tab with the full industrial-style S/T/U treatment; U = S + T.</t>
  </si>
  <si>
    <t xml:space="preserve">OPEN ITEM (col AD): no year-ended rent growth published; Q4-QUARTER 2nd-gen office GAAP rent growth carried, flagged (not YTD).</t>
  </si>
  <si>
    <t xml:space="preserve">OPEN ITEM (cols AF, AG): WALT pending - same terminal-bucket blocker as BXP and CUZ.</t>
  </si>
  <si>
    <t xml:space="preserve">TIE-OUTS: cols AY (debt principal vs published Total) and AZ (market cap vs published market value of common equity) tie to zero, all ten years.</t>
  </si>
  <si>
    <t xml:space="preserve">HIW Final tab, cols AY, AZ</t>
  </si>
  <si>
    <t xml:space="preserve">HIW vs Market</t>
  </si>
  <si>
    <t xml:space="preserve">FULLY POPULATED (2026-07-20). All cells formula-derived from HIW Final plus the CoStar, Green Street, and FRED macro tabs; column structure mirrors BXP/CUZ vs Market exactly. HIW company columns are consolidated-basis.</t>
  </si>
  <si>
    <t xml:space="preserve">BUILT (2026-07-20): CRE42 Office REIT Composite, EQUAL-WEIGHTED across BXP, CUZ, HIW per PROJECT DECISION (Chip, 2026-07-17); component set = the three office tabs in this workbook, confirmed by Chip request 2026-07-20. Structure mirrors the industrial Composite tab (which is TEV-weighted; office is equal-weighted by decision). Weights table carries Stabilized TEV per REIT for reference/future re-weighting.</t>
  </si>
  <si>
    <t xml:space="preserve">Derived (composite)</t>
  </si>
  <si>
    <t xml:space="preserve">Composite tab</t>
  </si>
  <si>
    <t xml:space="preserve">BASIS CAUTION: blends BXP (economic share), CUZ (share as published), HIW (consolidated). R blends three FFO variants; AD/AE blend heterogeneous rent-change and leased/occupancy measures; AE numeric FY2023-2025 only (BXP gap). S/T blank (only HIW splits TI/LC); U aggregated at total-TILC level.</t>
  </si>
  <si>
    <t xml:space="preserve">Composite tab, methodology block and cell notes</t>
  </si>
  <si>
    <t xml:space="preserve">Share price (E) = composite market cap / composite shares (not a direct average); identical convention to the industrial composite. All company-sourced columns are equal-weighted; calc columns keep single-company formulas.</t>
  </si>
  <si>
    <t xml:space="preserve">Composite vs Market</t>
  </si>
  <si>
    <t xml:space="preserve">FULLY POPULATED (2026-07-20). All cells formula-derived from the Composite tab plus the CoStar, Green Street, and FRED macro tabs; column structure mirrors the per-REIT vs Market tabs exactly.</t>
  </si>
  <si>
    <t xml:space="preserve">All REIT tabs</t>
  </si>
  <si>
    <t xml:space="preserve">DECISION (Chip, 2026-07-20): WALT columns (AF, AG) carried as n/d for now on BXP Final, CUZ Final, HIW Final, and Composite. The 'Thereafter'-bucket treatment (assumed terminal term for the office lease-expiration schedules) remains undecided; WALT_Calc tabs to be built once decided. Cells changed from 'pending' to 'n/d'.</t>
  </si>
  <si>
    <t xml:space="preserve">Decision</t>
  </si>
  <si>
    <t xml:space="preserve">AF/AG, rows 8-17, all four tabs</t>
  </si>
  <si>
    <t xml:space="preserve">DECISION (Chip, 2026-07-20): FY2016 col AE carries the SAME PROPERTY period-end leased (91.8%) - investigation confirmed NO total-office leased figure exists in the Q4 2016 vintage (the KPM chart page charts other metrics; no total row on Portfolio Statistics; no figure in the FY2016 10-K). Closest printed figure carried, flagged in cell note. Supersedes the earlier 'chart-only: n/d' note.</t>
  </si>
  <si>
    <t xml:space="preserve">Cousins Properties Incorporated / CRE42 note</t>
  </si>
  <si>
    <t xml:space="preserve">Primary (company filings), flagged substitution</t>
  </si>
  <si>
    <t xml:space="preserve">Q4 2016 Supplemental, Key Performance Metrics p.4, 'Same Property Information - Percent Leased (period end)'</t>
  </si>
  <si>
    <t xml:space="preserve">DECISION (Chip, 2026-07-20): col AE carries in-service OCCUPANCY for all ten years (option 'occupancy all ten years' - one consistent conservative measure, matching HIW; no 2023 seam). Leased-incl-signed series (FY2023-2025: 89.9/89.4/89.4%) retained on 'BXP w JV' col AH. Composite AE now populated for all ten years. Resolves the FY2016-2022 AE open item.</t>
  </si>
  <si>
    <t xml:space="preserve">BXP Final col AE; Composite col AE; 'BXP w JV' col AH</t>
  </si>
  <si>
    <t xml:space="preserve">CORRECTION (Chip catch, 2026-07-20): the initial equal-weighted build averaged dollar LEVELS with flat 1/3 weights, which made the ratio columns value-weighted (2025 cap printed 8.05% vs the true equal-weighted 8.62%). Rebuilt as normalize-then-average: each REIT rescaled to mean stabilized TEV, then averaged; ratio columns now equal the simple mean of per-REIT ratios; AD/AE are plain three-way means. Composite vs Market and all composite charts refreshed.</t>
  </si>
  <si>
    <t xml:space="preserve">Correction</t>
  </si>
  <si>
    <t xml:space="preserve">Composite tab, weights table and cols B-X, AD, AE</t>
  </si>
  <si>
    <t xml:space="preserve">DECISION CHANGE (Chip, 2026-07-20): office composite re-weighted to the INDUSTRIAL method (stabilized-TEV-weighted levels; AD/AE TEV-weighted percentages). Supersedes the 2026-07-17 equal-weight decision and the same-day normalize-then-average correction. Rationale: lopsided BXP weight (~2/3) accepted as reflecting actual market scale. Composite vs Market and all composite charts refreshed.</t>
  </si>
  <si>
    <t xml:space="preserve">BXP, Inc. (NYSE: BXP): Annualized Financial Model, BXP-Share Basis, FY2016-2025 (working tab, JV machinery)</t>
  </si>
  <si>
    <t xml:space="preserve">Working tab. Carries the joint-venture derivation columns, the annualization derivation block, and the tie-outs against BXP's published figures. 'BXP Final' is the reader-facing tab and mirrors the industrial per-REIT tabs (EGP/FR/STAG) column for column. All figures at BXP's economic share (consolidated less partners' share of consolidated JVs plus BXP's share of unconsolidated JVs). Columns C, X, Y (all years) and B (2016 only) are CRE42-derived; see Methodology Notes 2-3 and 6.</t>
  </si>
  <si>
    <t xml:space="preserve">Annual Financial Grid</t>
  </si>
  <si>
    <t xml:space="preserve">10K (2016: DERIVED*)</t>
  </si>
  <si>
    <t xml:space="preserve">DERIVED*</t>
  </si>
  <si>
    <t xml:space="preserve">CALC</t>
  </si>
  <si>
    <t xml:space="preserve">SUPP</t>
  </si>
  <si>
    <t xml:space="preserve">SUPP (2016-17: DERIVED)</t>
  </si>
  <si>
    <t xml:space="preserve">10K</t>
  </si>
  <si>
    <t xml:space="preserve">SUPP/10K</t>
  </si>
  <si>
    <t xml:space="preserve">UST TAB</t>
  </si>
  <si>
    <t xml:space="preserve">10K/SUPP</t>
  </si>
  <si>
    <t xml:space="preserve">Fiscal Year</t>
  </si>
  <si>
    <t xml:space="preserve">Annual NOI, BXP Share ($M)</t>
  </si>
  <si>
    <t xml:space="preserve">Annual Interest Paid, BXP Share ($M)</t>
  </si>
  <si>
    <t xml:space="preserve">Leveraged Property Cash Flow ($M)</t>
  </si>
  <si>
    <t xml:space="preserve">Year-End Share Price ($)</t>
  </si>
  <si>
    <t xml:space="preserve">SHARES + OP/LTIP UNITS (END OF YEAR, M)</t>
  </si>
  <si>
    <t xml:space="preserve">Market Cap, Common + Units ($M)</t>
  </si>
  <si>
    <t xml:space="preserve">LAND HELD FOR FUTURE DEVELOPMENT</t>
  </si>
  <si>
    <t xml:space="preserve">CONSTRUCTION IN PROGRESS</t>
  </si>
  <si>
    <t xml:space="preserve">Dev &amp; Land Value ($M)</t>
  </si>
  <si>
    <t xml:space="preserve">Stabilized Market Cap ($M)</t>
  </si>
  <si>
    <t xml:space="preserve">UNSECURED DEBT (PRINCIPAL)</t>
  </si>
  <si>
    <t xml:space="preserve">SECURED DEBT (MORTGAGE &amp; RELATED, CONSOL)</t>
  </si>
  <si>
    <t xml:space="preserve">PREFERRED EQUITY (TREATED AS DEBT)</t>
  </si>
  <si>
    <t xml:space="preserve">DISCOUNT, DFC &amp; FV ADJ (NET)</t>
  </si>
  <si>
    <t xml:space="preserve">PARTNERS' SHARE OF CONSOLIDATED JV DEBT (-)</t>
  </si>
  <si>
    <t xml:space="preserve">BXP SHARE OF UNCONSOLIDATED JV DEBT (+)</t>
  </si>
  <si>
    <t xml:space="preserve">TOTAL PROPERTY DEBT INCL PREF, BXP SHARE</t>
  </si>
  <si>
    <t xml:space="preserve">Total Enterprise Value ($M)</t>
  </si>
  <si>
    <t xml:space="preserve">Stabilized TEV ($M)</t>
  </si>
  <si>
    <t xml:space="preserve">FFO, OP COMMON UNITHOLDERS ($M)</t>
  </si>
  <si>
    <t xml:space="preserve">2ND GEN LEASES COMMENCED (M SF)</t>
  </si>
  <si>
    <t xml:space="preserve">2ND GEN TRANSACTION COSTS ($/SF)</t>
  </si>
  <si>
    <t xml:space="preserve">2nd-Gen TILC, Commitment Basis ($M)</t>
  </si>
  <si>
    <t xml:space="preserve">Estimated AFFO ($M)</t>
  </si>
  <si>
    <t xml:space="preserve">CF PROVIDED BY OPERATING ACTIVITIES</t>
  </si>
  <si>
    <t xml:space="preserve">DIVIDENDS &amp; DISTRIBUTIONS PAID ($M)</t>
  </si>
  <si>
    <t xml:space="preserve">10-Yr UST Yield (%)</t>
  </si>
  <si>
    <t xml:space="preserve">Stabilized Implied Cap Rate (%)</t>
  </si>
  <si>
    <t xml:space="preserve">Stabilized Leveraged Equity Yield (%)</t>
  </si>
  <si>
    <t xml:space="preserve">Gross NOI Multiple (x)</t>
  </si>
  <si>
    <t xml:space="preserve">Leveraged NOI Multiple (x)</t>
  </si>
  <si>
    <t xml:space="preserve">IN-SERVICE OCCUPANCY, YE (%)</t>
  </si>
  <si>
    <t xml:space="preserve">IN-SERVICE % LEASED INCL. SIGNED-NOT-COMMENCED, YE (%)</t>
  </si>
  <si>
    <t xml:space="preserve">2ND GEN NET RENT CHANGE (%)</t>
  </si>
  <si>
    <t xml:space="preserve">FY CONSOL NOI ($000)</t>
  </si>
  <si>
    <t xml:space="preserve">FY PUBLISHED COMPANY'S SHARE NOI ($000)</t>
  </si>
  <si>
    <t xml:space="preserve">Q4 CONSOL NOI ($000)</t>
  </si>
  <si>
    <t xml:space="preserve">Q4 BXP SHARE NOI ($000)</t>
  </si>
  <si>
    <t xml:space="preserve">FY CONSOL INTEREST ($000)</t>
  </si>
  <si>
    <t xml:space="preserve">Q4 CONSOL INTEREST ($000)</t>
  </si>
  <si>
    <t xml:space="preserve">Q4 BXP SHARE INTEREST ($000)</t>
  </si>
  <si>
    <t xml:space="preserve">PUBLISHED BXP SHARE OF DEBT ($000)</t>
  </si>
  <si>
    <t xml:space="preserve">TIE-OUT: DEBT ($000, ~0)</t>
  </si>
  <si>
    <t xml:space="preserve">PUBLISHED EQUITY VALUE INCL PREF ($000)</t>
  </si>
  <si>
    <t xml:space="preserve">TIE-OUT: MARKET CAP ($000, ~0)</t>
  </si>
  <si>
    <t xml:space="preserve">TIE-OUT: TEV ($000, ~0)</t>
  </si>
  <si>
    <t xml:space="preserve">2025</t>
  </si>
  <si>
    <t xml:space="preserve">2024</t>
  </si>
  <si>
    <t xml:space="preserve">2023</t>
  </si>
  <si>
    <t xml:space="preserve">2022</t>
  </si>
  <si>
    <t xml:space="preserve">n/d</t>
  </si>
  <si>
    <t xml:space="preserve">2021</t>
  </si>
  <si>
    <t xml:space="preserve">2020</t>
  </si>
  <si>
    <t xml:space="preserve">2019</t>
  </si>
  <si>
    <t xml:space="preserve">2018</t>
  </si>
  <si>
    <t xml:space="preserve">2017</t>
  </si>
  <si>
    <t xml:space="preserve">2016</t>
  </si>
  <si>
    <t xml:space="preserve">Methodology Notes</t>
  </si>
  <si>
    <t xml:space="preserve">1. Basis: all figures at BXP's economic share. Debt, equity value, and market capitalization from the supplemental Capital Structure / Capitalization pages, which BXP publishes on a share basis. Equity count is fully diluted (common shares + OP units + earned LTIP units); FY2016-2017 counts derived as (published equity value less preferred) / year-end price.</t>
  </si>
  <si>
    <t xml:space="preserve">2. Annual share NOI (col B): FY2017-2025 use BXP's PUBLISHED annual Company's share of NOI. CRE42-DERIVED FLAG applies to FY2016 only (consolidated NOI x Q4 share ratio); no published annual figure exists for 2016. On overlap years the ratio approach differed from published by -2.96% to +1.20%.</t>
  </si>
  <si>
    <t xml:space="preserve">3. CRE42-DERIVED FLAG: annual share interest (col C, all years) = annual consolidated interest x (Q4 share / Q4 consolidated) from each year's own supplemental. Ratio range 0.858 (2016) to 1.079 (2022). EXTRACTION CAUTION: the supplemental interest recon compares Dec vs Sep (sequential quarters); the NOI recon compares Dec vs Dec (year-over-year). Always take each year from its own supplemental's first column.</t>
  </si>
  <si>
    <t xml:space="preserve">4. Consolidated NOI includes residential and hotel NOI (roughly 2% combined in recent years). Not excluded; noted for property-type purity.</t>
  </si>
  <si>
    <t xml:space="preserve">5. Stabilized adjustment deducts construction in progress and land held for future development (consolidated balance-sheet cost) from common+units market cap. Preferred (5.25% Series B, $200.0M liquidation value, outstanding 2016-2020, redeemed 2021) is treated as debt in col N.</t>
  </si>
  <si>
    <t xml:space="preserve">6. CRE42-DERIVED FLAG: 2nd-Gen TILC (col X) = annual 2nd-gen SF commenced x total transaction costs per SF (10-K annual leasing table): a COMMITMENT measure on a 100%-including-JVs basis, unlike the rest of the model. Estimated AFFO (col Y) = share-basis FFO less this 100%-basis TILC, deliberately conservative.</t>
  </si>
  <si>
    <t xml:space="preserve">7. FFO is FFO attributable to Operating Partnership common unitholders (incl. BXP, Inc.); excludes preferred dividends, consistent with preferred-as-debt. Dividends &amp; distributions is the consolidated cash-flow financing line as filed (2016 includes special distributions).</t>
  </si>
  <si>
    <t xml:space="preserve">8. FY2016 debt components at net balance-sheet carrying values (adjustment col zero); secured column includes mortgage notes 2,063.1, mezzanine notes 307.1, and outside members' notes 180.0 (767 Fifth Avenue VIEs), which BXP's published Consolidated Debt includes. FY2017 likewise at carrying value. FY2020 partners' share of consolidated debt derived as ConsDebt + JV share less published Share of Debt.</t>
  </si>
  <si>
    <t xml:space="preserve">9. Occupancy (col AG) is in-service portfolio occupancy at year-end, disclosed every year. In-service % leased incl. signed-not-commenced (col AH) is disclosed FY2023 forward only. 2nd-gen net rent change (col AI) from the 10-K annual leasing table.</t>
  </si>
  <si>
    <t xml:space="preserve">10. Tie-outs (cols AS-AW): CRE42-built debt (ex preferred) and market capitalization against published BXP figures; differences should be zero within $1K rounding. FY2016-2017 market-cap tie-outs are structural (counts derived from the published equity value).</t>
  </si>
  <si>
    <t xml:space="preserve">BXP, Inc. (NYSE: BXP): Annualized Financial Model</t>
  </si>
  <si>
    <t xml:space="preserve">This model represents active property operations on an annualized basis at BXP's economic share, adjusted to isolate stabilized property yields by deducting construction in progress and land held for future development. Column structure mirrors the CRE42 industrial per-REIT tabs (EGP, FR, STAG). All inputs flow from the 'BXP w JV' working tab; see that tab for joint-venture derivations, source tags, and tie-outs against BXP's published share-basis figures.</t>
  </si>
  <si>
    <t xml:space="preserve">10K*</t>
  </si>
  <si>
    <t xml:space="preserve">N/D*</t>
  </si>
  <si>
    <t xml:space="preserve">SEE 10 YR UST</t>
  </si>
  <si>
    <t xml:space="preserve">10K/SUPP*</t>
  </si>
  <si>
    <t xml:space="preserve">WALT TAB*</t>
  </si>
  <si>
    <t xml:space="preserve">Annual NOI ($M)</t>
  </si>
  <si>
    <t xml:space="preserve">Annual Interest Paid ($M)</t>
  </si>
  <si>
    <t xml:space="preserve">SHARES OUTSTANDING (END OF YEAR)</t>
  </si>
  <si>
    <t xml:space="preserve">Market Cap ($M)</t>
  </si>
  <si>
    <t xml:space="preserve">LAND VALUE</t>
  </si>
  <si>
    <t xml:space="preserve">DEVELOPMENT AND VALUE ADD PROPERTIES</t>
  </si>
  <si>
    <t xml:space="preserve">UNSECURED DEBT</t>
  </si>
  <si>
    <t xml:space="preserve">LOANS PAYABLE</t>
  </si>
  <si>
    <t xml:space="preserve">TOTAL PROPERTY DEBT</t>
  </si>
  <si>
    <t xml:space="preserve">Core FFO ($M)</t>
  </si>
  <si>
    <t xml:space="preserve">TI</t>
  </si>
  <si>
    <t xml:space="preserve">LC</t>
  </si>
  <si>
    <t xml:space="preserve">TILC</t>
  </si>
  <si>
    <t xml:space="preserve">DISTRIBUTIONS PAID ($M)</t>
  </si>
  <si>
    <t xml:space="preserve">Rental Rate Change, New &amp; Renewal, Straight-Line YTD (%)</t>
  </si>
  <si>
    <t xml:space="preserve">Percentage Leased, Period-End 12/31 (%)</t>
  </si>
  <si>
    <t xml:space="preserve">WALT, SF-Weighted (yrs)</t>
  </si>
  <si>
    <t xml:space="preserve">WALT, Rent-Weighted (yrs)</t>
  </si>
  <si>
    <t xml:space="preserve">Mapping and Open Items (column letters as on this tab)</t>
  </si>
  <si>
    <t xml:space="preserve">Column structure mirrors the industrial per-REIT tabs (EGP, FR, STAG). Where BXP's disclosure differs from the industrial REITs, the column is kept in place and the difference is flagged below. Source tags carrying an asterisk mark those columns.</t>
  </si>
  <si>
    <t xml:space="preserve">F (SHARES OUTSTANDING): carries common shares PLUS OP and earned LTIP units. BXP is an UPREIT; the industrial REITs in the composite are not. Market cap and all per-share-derived measures are on this fully diluted basis.</t>
  </si>
  <si>
    <t xml:space="preserve">I (DEVELOPMENT AND VALUE ADD PROPERTIES): carries construction in progress. BXP does not report a value-add category.</t>
  </si>
  <si>
    <t xml:space="preserve">L, M, O (debt): L = unsecured principal plus discount, deferred financing costs and fair value adjustments. M ('LOANS PAYABLE') = BXP-share secured/mortgage debt, i.e. consolidated mortgage notes less partners' share of consolidated JV debt plus BXP's share of unconsolidated JV debt. O therefore ties to BXP's published Share of Debt plus preferred; see the tie-out columns on 'BXP w JV'.</t>
  </si>
  <si>
    <t xml:space="preserve">R (Core FFO) OPEN ITEM: the industrial tabs carry Core FFO. BXP does not report a Core FFO measure, so this column carries FFO attributable to Operating Partnership common unitholders. NOT like-for-like with EGP/FR/STAG Core FFO.</t>
  </si>
  <si>
    <t xml:space="preserve">S, T (TI, LC) OPEN ITEM: BXP does not disclose tenant improvements and leasing commissions separately; it reports them combined. Marked n/d. Col U (TILC) is populated directly rather than as S+T.</t>
  </si>
  <si>
    <t xml:space="preserve">U (TILC) is CRE42-derived: annual 2nd-generation SF commenced x total transaction costs per SF (10-K annual leasing table). A COMMITMENT measure on a 100%-including-JVs basis, unlike the rest of this tab, which is at BXP's share. V (Estimated AFFO) = R less U and is therefore deliberately conservative.</t>
  </si>
  <si>
    <t xml:space="preserve">AD (Rental Rate Change) OPEN ITEM: carries BXP's increase (decrease) in NET RENTS on 2nd-generation leases commencing in the year (gross rent less operating expenses). The industrial tabs carry rental rate change, new &amp; renewal, on a straight-line basis. Directionally comparable, not the same measure.</t>
  </si>
  <si>
    <t xml:space="preserve">AE (Percentage Leased) - RESOLVED (CHIP DECISION 2026-07-20): carries in-service OCCUPANCY at year-end for all ten years (one consistent measure, matching the HIW treatment; occupancy is disclosed every year while % leased incl. signed-not-commenced exists only FY2023+). The leased-incl-signed series (2023: 89.9%, 2024: 89.4%, 2025: 89.4%) remains on 'BXP w JV' col AH; it runs 1.5-2.7pp above occupancy. Definitional caution: AE on this tab is occupancy, while CUZ's AE is percent leased.</t>
  </si>
  <si>
    <t xml:space="preserve">AF, AG (WALT) OPEN ITEM: pending. BXP supplementals publish a Lease Expiration Roll-Out with SF and annualized rental obligations by expiration year, so a WALT_Calc_BXP tab is buildable on the EastGroup method. BLOCKER: BXP's schedules carry a large 'Thereafter' bucket (roughly 27% of SF at FY2016) with no expiration year; the EastGroup schedule does not. Excluding it understates WALT; including it requires an assumed term. Treatment must be decided first.</t>
  </si>
  <si>
    <t xml:space="preserve">BXP vs. Market: Public-Market Pricing and Office Fundamentals, 2016-2025</t>
  </si>
  <si>
    <t xml:space="preserve">All cells derived by formula from 'BXP Final' and the FRED macro tabs. Columns G, H, I, T, U, X, Y, Z, AA, AB and AC require office market data (CoStar, Green Street) that is not yet in this workbook; see the Sources tab.</t>
  </si>
  <si>
    <t xml:space="preserve">BXP Stabilized Implied Cap Rate (%)</t>
  </si>
  <si>
    <t xml:space="preserve">Spread: Cap Rate less UST (pp)</t>
  </si>
  <si>
    <t xml:space="preserve">BXP Stabilized Leveraged Equity Yield (%)</t>
  </si>
  <si>
    <t xml:space="preserve">Leverage Contribution: Lev Yield less Cap Rate (pp)</t>
  </si>
  <si>
    <t xml:space="preserve">CoStar National Vacancy (%)</t>
  </si>
  <si>
    <t xml:space="preserve">CoStar Market Asking Rent Growth (%)</t>
  </si>
  <si>
    <t xml:space="preserve">CoStar Deliveries (% of Inventory)</t>
  </si>
  <si>
    <t xml:space="preserve">Prime Rate (%)</t>
  </si>
  <si>
    <t xml:space="preserve">Stabilized TEV less NOI ($M)</t>
  </si>
  <si>
    <t xml:space="preserve">Stabilized Market Cap less Leveraged Cash Flow ($M)</t>
  </si>
  <si>
    <t xml:space="preserve">CPI Inflation, YoY (%)</t>
  </si>
  <si>
    <t xml:space="preserve">Green Street Nominal Cap Rate, 4Q (%)</t>
  </si>
  <si>
    <t xml:space="preserve">Green Street CPPI (2016 = 100)</t>
  </si>
  <si>
    <t xml:space="preserve">Construction PPI (2016 = 100)</t>
  </si>
  <si>
    <t xml:space="preserve">CPI (2016 = 100)</t>
  </si>
  <si>
    <t xml:space="preserve">CoStar Market Asking Rent (2016 = 100)</t>
  </si>
  <si>
    <t xml:space="preserve">Green Street Market-RevPAF Growth (%)</t>
  </si>
  <si>
    <t xml:space="preserve">CoStar Occupancy Change, YoY (pp)</t>
  </si>
  <si>
    <t xml:space="preserve">CoStar Market Asking Rent ($/SF)</t>
  </si>
  <si>
    <t xml:space="preserve">CoStar National Occupancy (%)</t>
  </si>
  <si>
    <t xml:space="preserve">Green Street Market-RevPAF (2016 = 100)</t>
  </si>
  <si>
    <t xml:space="preserve">NOI YoY Growth (chart label)</t>
  </si>
  <si>
    <t xml:space="preserve">Leveraged CF YoY Growth (chart label)</t>
  </si>
  <si>
    <t xml:space="preserve">Metric definitions (in order of appearance)</t>
  </si>
  <si>
    <t xml:space="preserve">BXP Stabilized Implied Cap Rate (%): Annual NOI divided by stabilized TEV (stabilized TEV is defined below).</t>
  </si>
  <si>
    <t xml:space="preserve">10-Yr UST Yield (%): 10-year U.S. Treasury constant-maturity yield at fiscal year-end (FRED series DGS10).</t>
  </si>
  <si>
    <t xml:space="preserve">Spread: Cap Rate less UST (pp): stabilized implied cap rate minus the 10-Yr UST yield, in percentage points.</t>
  </si>
  <si>
    <t xml:space="preserve">BXP Stabilized Leveraged Equity Yield (%): leveraged property cash flow divided by stabilized market cap (both defined below).</t>
  </si>
  <si>
    <t xml:space="preserve">Leverage Contribution: Lev Yield less Cap Rate (pp): stabilized leveraged equity yield minus the stabilized implied cap rate, in percentage points.</t>
  </si>
  <si>
    <t xml:space="preserve">CoStar National Vacancy (%): National office vacancy rate, annual. CoStar; proprietary, licensed via MIT CRE.</t>
  </si>
  <si>
    <t xml:space="preserve">CoStar Market Asking Rent Growth (%): Year-over-year national office market asking rent growth, annual. CoStar; proprietary, licensed via MIT CRE.</t>
  </si>
  <si>
    <t xml:space="preserve">CoStar Deliveries (% of Inventory): CoStar Net Delivered SF divided by Inventory SF, annual. Net of demolitions, so 2025 is slightly negative. CoStar; proprietary, licensed via MIT CRE.</t>
  </si>
  <si>
    <t xml:space="preserve">Gross NOI Multiple (x): CRE42-defined measure. Stabilized TEV divided by Annual NOI; the inverse of the stabilized implied cap rate.</t>
  </si>
  <si>
    <t xml:space="preserve">Leveraged NOI Multiple (x): CRE42-defined measure. Stabilized market cap divided by leveraged property cash flow; the inverse of the stabilized leveraged equity yield.</t>
  </si>
  <si>
    <t xml:space="preserve">Annual NOI ($M): BXP net operating income, twelve months, at BXP's economic share. FY2017-2025 as published by BXP; FY2016 CRE42-derived (see 'BXP w JV' Note 2).</t>
  </si>
  <si>
    <t xml:space="preserve">Stabilized TEV ($M): equity market capitalization at the year-end share price, plus total property debt, less development and land value.</t>
  </si>
  <si>
    <t xml:space="preserve">Leveraged Property Cash Flow ($M): Annual NOI less annual interest paid at share (CRE42-derived; see BXP w JV Note 3).</t>
  </si>
  <si>
    <t xml:space="preserve">Stabilized Market Cap ($M): equity market capitalization at the year-end share price, less development and land value.</t>
  </si>
  <si>
    <t xml:space="preserve">Prime Rate (%): U.S. bank prime loan rate, annual average, not seasonally adjusted (FRED series MPRIME; Board of Governors of the Federal Reserve System). Note: annual average, versus the year-end convention used for the 10-Yr UST.</t>
  </si>
  <si>
    <t xml:space="preserve">Stabilized TEV less NOI ($M): chart source column; stabilized TEV minus Annual NOI (the upper segment of the stacked bar in the Gross NOI Multiple chart).</t>
  </si>
  <si>
    <t xml:space="preserve">Stabilized Market Cap less Leveraged Cash Flow ($M): chart source column; stabilized market cap minus leveraged property cash flow (the upper segment of the stacked bar in the Leveraged NOI Multiple chart).</t>
  </si>
  <si>
    <t xml:space="preserve">CPI Inflation, YoY (%): year-over-year change in CPI for All Urban Consumers, annual average (FRED series CPIAUCSL).</t>
  </si>
  <si>
    <t xml:space="preserve">Green Street Nominal Cap Rate, 4Q (%): Office nominal cap rate, weighted average, 4Q values. Green Street; proprietary, licensed via MIT CRE.</t>
  </si>
  <si>
    <t xml:space="preserve">Green Street CPPI (2016 = 100): Green Street office Commercial Property Price Index, indexed to 2016. Proprietary, licensed via MIT CRE.</t>
  </si>
  <si>
    <t xml:space="preserve">Construction PPI (2016 = 100): PPI, New Nonresidential Building Construction (FRED series WPU801), indexed to 2016.</t>
  </si>
  <si>
    <t xml:space="preserve">CPI (2016 = 100): CPI for All Urban Consumers (FRED series CPIAUCSL), indexed to 2016.</t>
  </si>
  <si>
    <t xml:space="preserve">CoStar Market Asking Rent (2016 = 100): National office market asking rent, indexed to 2016. CoStar; proprietary, licensed via MIT CRE.</t>
  </si>
  <si>
    <t xml:space="preserve">Green Street Market-RevPAF Growth (%): Office market revenue per available foot growth. Green Street; proprietary, licensed via MIT CRE.</t>
  </si>
  <si>
    <t xml:space="preserve">CoStar Occupancy Change, YoY (pp): Year-over-year change in national office occupancy, in percentage points. CoStar; proprietary, licensed via MIT CRE.</t>
  </si>
  <si>
    <t xml:space="preserve">CoStar Market Asking Rent ($/SF): National office market asking rent per square foot. CoStar; proprietary, licensed via MIT CRE.</t>
  </si>
  <si>
    <t xml:space="preserve">CoStar National Occupancy (%): National office occupancy rate, annual. CoStar; proprietary, licensed via MIT CRE.</t>
  </si>
  <si>
    <t xml:space="preserve">Green Street Market-RevPAF (2016 = 100): Office Market-RevPAF indexed to 2016. Green Street; proprietary, licensed via MIT CRE.</t>
  </si>
  <si>
    <t xml:space="preserve">Cousins Properties Incorporated (NYSE: CUZ): Annualized Financial Model</t>
  </si>
  <si>
    <t xml:space="preserve">This model represents active property operations on an annualized basis at Cousins' economic share, adjusted to isolate stabilized property yields by deducting the development pipeline and land inventory (both at Company share). Column structure mirrors 'BXP Final' and the CRE42 industrial per-REIT tabs (EGP, FR, STAG). Unlike BXP, Cousins publishes share-basis NOI, interest, and debt directly, so no JV derivation tab is needed; as-filed figures ($000) sit in the reference block at columns AI-AY with tie-outs against Cousins' published Debt and Equity Market Capitalization. See Mapping and Open Items below and the Sources tab.</t>
  </si>
  <si>
    <t xml:space="preserve">SUPP*</t>
  </si>
  <si>
    <t xml:space="preserve">N/A*</t>
  </si>
  <si>
    <t xml:space="preserve">FY TOTAL NOI, CUZ SHARE ($000)</t>
  </si>
  <si>
    <t xml:space="preserve">FY TOTAL INTEREST EXPENSE, CUZ SHARE ($000, NET OF CAPITALIZED)</t>
  </si>
  <si>
    <t xml:space="preserve">FY FFO ($000)</t>
  </si>
  <si>
    <t xml:space="preserve">FY 2ND GEN LEASING RELATED COSTS ($000)</t>
  </si>
  <si>
    <t xml:space="preserve">LAND INVENTORY, COMPANY'S SHARE COST BASIS ($000)</t>
  </si>
  <si>
    <t xml:space="preserve">DEV PIPELINE, COMPANY'S SHARE COST INCURRED TO DATE ($000)</t>
  </si>
  <si>
    <t xml:space="preserve">CF PROVIDED BY OPERATING ACTIVITIES ($000)</t>
  </si>
  <si>
    <t xml:space="preserve">COMMON DIVIDENDS PAID ($000)</t>
  </si>
  <si>
    <t xml:space="preserve">COMMON STOCK/UNITS OUTSTANDING EOY (000)</t>
  </si>
  <si>
    <t xml:space="preserve">PUBLISHED EQUITY MARKET CAPITALIZATION ($000)</t>
  </si>
  <si>
    <t xml:space="preserve">PUBLISHED DEBT, COMPANY'S SHARE ($000)</t>
  </si>
  <si>
    <t xml:space="preserve">UNSECURED DEBT, NET ($000)</t>
  </si>
  <si>
    <t xml:space="preserve">SECURED DEBT, NET ($000)</t>
  </si>
  <si>
    <t xml:space="preserve">WEIGHTED AVG OCCUPANCY, FY (%)</t>
  </si>
  <si>
    <t xml:space="preserve">PARTNERS' SHARE OF FFO IN CONSOLIDATED JVs ($000, EXPENSE)</t>
  </si>
  <si>
    <t xml:space="preserve">Column structure mirrors 'BXP Final' and the industrial per-REIT tabs (EGP, FR, STAG). All figures at Cousins' economic share as published: unlike BXP, Cousins publishes share-basis NOI, interest, and debt directly, so this tab has no JV derivation machinery. As-filed inputs ($000, from each year's own 10-K and Q4 supplemental) sit in the reference block (cols AI-AY); the model columns divide to $M.</t>
  </si>
  <si>
    <t xml:space="preserve">B (Annual NOI): supplemental FFO - Detail 'Total Net Operating Income' = consolidated NOI plus Cousins' share of unconsolidated JVs. Includes 100% of consolidated JVs; the partners' share of FFO in consolidated JVs (reference col AY) is small (max $3.8M, 2016). FY2016 includes discontinued operations (Houston spin) and a partial quarter of legacy Parkway; see cell notes.</t>
  </si>
  <si>
    <t xml:space="preserve">C (Interest): supplemental FFO - Detail 'Total Interest Expense' - published at share (consolidated + unconsolidated share), net of capitalized interest. No ratio derivation needed (contrast BXP col C).</t>
  </si>
  <si>
    <t xml:space="preserve">F (SHARES OUTSTANDING): 'Common Stock/Units Outstanding' (common + OP units). CUZ executed a 1-for-4 reverse split in June 2019 with the TIER REIT merger: FY2016-2018 share counts and prices are pre-split as reported in each year's own supplemental. Market cap (G) is unaffected; per-share columns E/F are NOT split-adjusted across years.</t>
  </si>
  <si>
    <t xml:space="preserve">H, I (land &amp; development) - CHIP DECISION 2026-07-20: sourced from the supplemental at COMPANY SHARE (Land Inventory 'Company's Share of Cost Basis of Land'; Development Pipeline 'Company's Share of Project Cost Incurred to Date'), NOT the consolidated balance sheet, so that unconsolidated JV development (Neuhoff, 50%) enters the stabilized adjustment on the same share basis as the rest of the tab. Differs from the BXP treatment (consolidated balance-sheet cost), which was forced by BXP's disclosure. FY2016 dev is at 100% basis (no share figure published that year; flagged).</t>
  </si>
  <si>
    <t xml:space="preserve">N (PREFERRED): 0 all years. The 'limited voting preferred stock' outstanding 2016-2019 (Parkway-merger artifact paired with CPLP units) has no dividend or distribution rights - non-economic, not treated as debt. Redeemed 1Q2020.</t>
  </si>
  <si>
    <t xml:space="preserve">R (Core FFO) OPEN ITEM: CUZ reports NAREIT FFO, not Core FFO - same caveat as BXP col R. NOT like-for-like with EGP/FR/STAG Core FFO. FY2019 FFO includes $52.9M of TIER merger transaction costs (FFO before: $381.7M); as-reported figure carried.</t>
  </si>
  <si>
    <t xml:space="preserve">S, T (TI, LC) OPEN ITEM: CUZ does not disclose TI and LC separately; marked n/d. U (TILC) - CHIP DECISION 2026-07-20: carries 'Second Generation Leasing Related Costs' from the FAD reconciliation - ACTUAL 12-month spend at Company share, leasing-related only (excludes Second Generation Building Improvements). Closer to the industrial TILC definition than BXP's CRE42-derived commitment-basis TILC; V (Estimated AFFO) = R less U.</t>
  </si>
  <si>
    <t xml:space="preserve">X (DISTRIBUTIONS): 'Common dividends paid', 10-K cash flow statement (cash basis). FY2016 is low ($50.5M) because the Q4 2016 dividend was paid in January 2017.</t>
  </si>
  <si>
    <t xml:space="preserve">AD (Rental Rate Change): straight-line-basis second generation net rent change, year-ended, total office - matches the industrial straight-line definition (better aligned than BXP's 2nd-gen net rent measure). AE (Percentage Leased): total office portfolio, period end; FY2016 carries the SAME PROPERTY period-end leased (91.8%) - the only printed portfolio-level figure that vintage - flagged (Chip decision 2026-07-20; see cell note).</t>
  </si>
  <si>
    <t xml:space="preserve">AF, AG (WALT) OPEN ITEM: pending - same blocker as BXP (lease-expiration schedules carry a 'Thereafter' bucket with no expiration year; treatment must be decided before a WALT_Calc tab is built).</t>
  </si>
  <si>
    <t xml:space="preserve">Tie-outs: AV = built debt (AT+AU) less published Company-share Debt; AW = price x shares/units less published Equity Market Capitalization. All ten years tie to zero within $1K rounding (FY2020 shows -1 from rounding internal to CUZ's own schedule). AX (occupancy, reference): total-office full-year W.A. occupancy is disclosed only FY2023-2025; FY2018-2019, 2021-2022 carry the Same Property full-year figure (flagged in cell notes); FY2016-2017 and 2020 n/d.</t>
  </si>
  <si>
    <t xml:space="preserve">CUZ vs. Market: Public-Market Pricing and Office Fundamentals, 2016-2025</t>
  </si>
  <si>
    <t xml:space="preserve">All cells derived by formula from 'CUZ Final' and the FRED macro tabs, plus the CoStar and Green Street office market tabs already loaded in this workbook. Column structure mirrors 'BXP vs Market' exactly.</t>
  </si>
  <si>
    <t xml:space="preserve">CUZ Stabilized Implied Cap Rate (%)</t>
  </si>
  <si>
    <t xml:space="preserve">CUZ Stabilized Leveraged Equity Yield (%)</t>
  </si>
  <si>
    <t xml:space="preserve">CUZ Stabilized Implied Cap Rate (%): Annual NOI divided by stabilized TEV (stabilized TEV is defined below).</t>
  </si>
  <si>
    <t xml:space="preserve">CUZ Stabilized Leveraged Equity Yield (%): leveraged property cash flow divided by stabilized market cap (both defined below).</t>
  </si>
  <si>
    <t xml:space="preserve">Annual NOI ($M): Cousins' share net operating income, twelve months ('Total Net Operating Income', Q4 supplemental FFO - Detail): consolidated NOI plus Cousins' share of unconsolidated joint ventures, as published. FY2016 includes discontinued operations (Houston spin); see 'CUZ Final'.</t>
  </si>
  <si>
    <t xml:space="preserve">Leveraged Property Cash Flow ($M): Annual NOI less annual interest paid at Cousins' share (both as published; no CRE42 derivation - contrast BXP).</t>
  </si>
  <si>
    <t xml:space="preserve">Highwoods Properties, Inc. (NYSE: HIW): Annualized Financial Model</t>
  </si>
  <si>
    <t xml:space="preserve">This model represents active property operations on an annualized basis on a CONSOLIDATED basis (Chip decision 2026-07-20): Highwoods publishes no share-basis annual NOI, interest, or debt, and its unconsolidated JVs are small (roughly 2-4% of NOI). NOI = rental and other revenues less rental property and other expenses (HIW's own NOI definition); interest and debt are consolidated; the development pipeline (col I) is at HIW share where published (2022-2025). Preferred stock (8.625% Series A, at liquidation value) is treated as debt in col N, as on 'BXP Final'. Column structure mirrors the BXP/CUZ and industrial per-REIT tabs; as-filed inputs ($000) sit in the reference block (cols AI-AZ) with tie-outs against published Total debt and Market value of common equity. See Mapping and Open Items below and the Sources tab.</t>
  </si>
  <si>
    <t xml:space="preserve">SUPP/10K*</t>
  </si>
  <si>
    <t xml:space="preserve">SUPP (Q4)*</t>
  </si>
  <si>
    <t xml:space="preserve">RENTAL AND OTHER REVENUES, FY ($000)</t>
  </si>
  <si>
    <t xml:space="preserve">RENTAL PROPERTY AND OTHER EXPENSES, FY ($000)</t>
  </si>
  <si>
    <t xml:space="preserve">INTEREST EXPENSE, FY ($000)</t>
  </si>
  <si>
    <t xml:space="preserve">FFO AVAILABLE FOR COMMON STOCKHOLDERS, FY ($000)</t>
  </si>
  <si>
    <t xml:space="preserve">2ND GENERATION TENANT IMPROVEMENTS, FY ($000)</t>
  </si>
  <si>
    <t xml:space="preserve">2ND GENERATION LEASE COMMISSIONS, FY ($000)</t>
  </si>
  <si>
    <t xml:space="preserve">LAND HELD FOR DEVELOPMENT, BALANCE SHEET ($000)</t>
  </si>
  <si>
    <t xml:space="preserve">DEV PIPELINE INVESTMENT TO DATE ($000; @HIW SHARE 2022-25, 100% 2016-21*)</t>
  </si>
  <si>
    <t xml:space="preserve">COMMON DIVIDENDS &amp; UNIT DISTRIBUTIONS PAID ($000)</t>
  </si>
  <si>
    <t xml:space="preserve">COMMON STOCK + UNITS OUTSTANDING EOY (000)</t>
  </si>
  <si>
    <t xml:space="preserve">PUBLISHED MARKET VALUE OF COMMON EQUITY ($000)</t>
  </si>
  <si>
    <t xml:space="preserve">UNSECURED DEBT TOTAL, PRINCIPAL ($000)</t>
  </si>
  <si>
    <t xml:space="preserve">SECURED DEBT (MORTGAGES), PRINCIPAL ($000)</t>
  </si>
  <si>
    <t xml:space="preserve">PUBLISHED TOTAL DEBT, PRINCIPAL ($000)</t>
  </si>
  <si>
    <t xml:space="preserve">PREFERRED STOCK AT LIQUIDATION VALUE ($000)</t>
  </si>
  <si>
    <t xml:space="preserve">CONSOLIDATED BASIS (CHIP DECISION 2026-07-20): unlike BXP (share-derived) and CUZ (share-published), HIW publishes no share-basis annual NOI, interest, or debt. This tab is consolidated throughout: B = rental and other revenues less rental property and other expenses (entered as an explicit difference of the two as-filed lines, cols AI/AJ); C = consolidated interest expense; L/M = consolidated principal from the Mortgages and Notes Payable Summary. Unconsolidated JV share (~2-4% of NOI; ~$110M debt at share in 2025) is EXCLUDED; partner's share of consolidated JVs (Midtown West 20%) is INCLUDED. Numerator and denominator are internally consistent.</t>
  </si>
  <si>
    <t xml:space="preserve">N (PREFERRED): 8.625% Series A preferred at liquidation value, treated as debt (BXP-parallel). R (Core FFO) OPEN ITEM: carries FFO AVAILABLE FOR COMMON STOCKHOLDERS (NAREIT FFO after preferred dividends, consistent with preferred-as-debt); HIW reports no Core FFO. Not like-for-like with EGP/FR/STAG Core FFO.</t>
  </si>
  <si>
    <t xml:space="preserve">S, T, U (TI/LC): HIW discloses 2nd generation tenant improvements and lease commissions SEPARATELY (actual 12-month spend, 'non-incremental revenue generating capital expenditures') - the only office tab where S and T are both populated and U = S + T on the standard formula, matching the industrial treatment. Excludes building improvements (as the TILC definition requires).</t>
  </si>
  <si>
    <t xml:space="preserve">H, I (land &amp; development): H = balance-sheet 'Land held for development' (consolidated cost; HIW publishes no land cost at share - its Land page shows SF and market value only). I = Development Activity 'Total Pipeline Investment To Date': at HIW share as published 2022-2025; 2016-2021 vintages print 100% only (carried as printed, flagged in cell notes - those pipelines were wholly or near-wholly owned). Balance-sheet development-in-process is NOT used: HIW's completed-not-stabilized projects and JV developments sit outside that line.</t>
  </si>
  <si>
    <t xml:space="preserve">X (DISTRIBUTIONS): supplemental 'Common dividends and unit distributions paid' (common + OP units; ties to the sum of the 10-K financing lines in every year tested). FY2017 EXCEPTION: entered as an explicit sum including the 2017 special dividend and special OP distribution, which the supplemental line excludes (see cell note, col AR).</t>
  </si>
  <si>
    <t xml:space="preserve">AD (Rental Rate Change) OPEN ITEM: HIW publishes NO year-ended rent-growth figure; this column carries the Q4-QUARTER 2nd-gen office GAAP rent growth from each year's Q4 supplemental. A quarterly snapshot, not a YTD measure - directionally comparable only. AE (CHIP DECISION 2026-07-20): carries year-end portfolio OCCUPANCY (not 'percent leased'); occupancy excludes signed-not-commenced leases and runs below a leased-% measure.</t>
  </si>
  <si>
    <t xml:space="preserve">AF, AG (WALT) OPEN ITEM: pending - HIW's lease expiration schedules carry a 'Thereafter'-style terminal bucket; same blocker as BXP and CUZ.</t>
  </si>
  <si>
    <t xml:space="preserve">Tie-outs: AY = unsecured + secured principal less published Total debt; AZ = price x shares/units less published Market value of common equity. All ten years tie to zero. L/M are PRINCIPAL balances (the summary page's basis); the balance sheet carries debt net of issuance costs (~$6-16M lower).</t>
  </si>
  <si>
    <t xml:space="preserve">HIW vs. Market: Public-Market Pricing and Office Fundamentals, 2016-2025</t>
  </si>
  <si>
    <t xml:space="preserve">All cells derived by formula from 'HIW Final' and the FRED macro tabs, plus the CoStar and Green Street office market tabs already loaded in this workbook. Column structure mirrors 'BXP vs Market' and 'CUZ vs Market' exactly. Note: HIW company figures are on a consolidated basis; see 'HIW Final'.</t>
  </si>
  <si>
    <t xml:space="preserve">HIW Stabilized Implied Cap Rate (%)</t>
  </si>
  <si>
    <t xml:space="preserve">HIW Stabilized Leveraged Equity Yield (%)</t>
  </si>
  <si>
    <t xml:space="preserve">HIW Stabilized Implied Cap Rate (%): Annual NOI divided by stabilized TEV (stabilized TEV is defined below).</t>
  </si>
  <si>
    <t xml:space="preserve">HIW Stabilized Leveraged Equity Yield (%): leveraged property cash flow divided by stabilized market cap (both defined below).</t>
  </si>
  <si>
    <t xml:space="preserve">Annual NOI ($M): HIW net operating income, twelve months, CONSOLIDATED (rental and other revenues less rental property and other expenses, HIW's own NOI definition). Excludes HIW's share of unconsolidated JVs (roughly 2-4%); see 'HIW Final'.</t>
  </si>
  <si>
    <t xml:space="preserve">Leveraged Property Cash Flow ($M): Annual NOI less annual interest paid, both consolidated (see 'HIW Final').</t>
  </si>
  <si>
    <t xml:space="preserve">CRE42 Office REIT Composite (BXP, CUZ, HIW): Annualized Financial Model</t>
  </si>
  <si>
    <t xml:space="preserve">This model represents active property operations on an annualized basis, adjusted to isolate stabilized property yields by deducting non-income-producing development pipeline assets and land holdings. Figures are a Stabilized-TEV-weighted composite of BXP (BXP), Cousins Properties (CUZ), and Highwoods Properties (HIW), built on the same method as the CRE42 Industrial REIT Composite; see methodology below.</t>
  </si>
  <si>
    <t xml:space="preserve">Composite Annual Financial Grid</t>
  </si>
  <si>
    <t xml:space="preserve">TEV-WTD</t>
  </si>
  <si>
    <t xml:space="preserve">DERIVED</t>
  </si>
  <si>
    <t xml:space="preserve">TEV-WTD*</t>
  </si>
  <si>
    <t xml:space="preserve">Composite Methodology</t>
  </si>
  <si>
    <t xml:space="preserve">This tab is a synthetic composite of the BXP Final, CUZ Final, and HIW Final tabs. It is not a filing of any single company; the direct-source rule does not apply here by design. Structure mirrors the CRE42 Industrial REIT Composite.</t>
  </si>
  <si>
    <t xml:space="preserve">WEIGHTING (DECISION, Chip 2026-07-20): every figure drawn from company reports is a TEV-weighted average across the three REITs, weighted by each REIT's Stabilized TEV (column Q) for that fiscal year, exactly as on the industrial composite. See the TEV Weights table below. This supersedes the 2026-07-17 equal-weight decision and an interim normalize-then-average build (both recorded on the Sources tab). BXP carries roughly two-thirds of the weight throughout; the composite deliberately reflects actual public-market scale.</t>
  </si>
  <si>
    <t xml:space="preserve">All calculation cells (D, G, J, K, O, P, Q, V, Z, AA, AB, AC) keep the identical formulas used on the single-company tabs; only their inputs are composite.</t>
  </si>
  <si>
    <t xml:space="preserve">Share price (E) is not averaged directly. It is set to composite market cap divided by composite shares (F), where composite market cap is the equal-weighted average of the three companies' market caps. Averaging price and share count independently would distort market cap, because the three REITs carry very different prices and counts.</t>
  </si>
  <si>
    <t xml:space="preserve">TILC (U) is aggregated at the total leasing-cost level (equal-weighted average of each company's TILC). TI (S) and LC (T) are left blank because only HIW splits them; U drives AFFO (V = R - U).</t>
  </si>
  <si>
    <t xml:space="preserve">BASIS CAUTION: the composite blends BXP (economic-share basis), CUZ (share basis as published), and HIW (CONSOLIDATED basis - HIW publishes no share-basis figures; its unconsolidated JV share, roughly 2-4% of NOI, is excluded). R blends three FFO variants (BXP: FFO to OP common unitholders; CUZ: NAREIT FFO; HIW: FFO available for common after preferred dividends). AD blends heterogeneous rent-change measures; AE blends BXP occupancy (all years, per 2026-07-20 decision), CUZ leased %, and HIW occupancy - now populated for all ten years (see cell notes). N carries BXP's Series B preferred (2016-2020) and HIW's Series A at liquidation value; CUZ has none.</t>
  </si>
  <si>
    <t xml:space="preserve">10-Yr UST (Y) is the same year-end FRED DGS10 lookup used on every tab; it is a macro rate identical across REITs, so no weighting is applied. Result: the composite reads like a single large office REIT whose every metric is the TEV-weighted blend of the three constituents. Sanity check: NOI / stabilized TEV on this tab equals the composite implied cap rate column.</t>
  </si>
  <si>
    <t xml:space="preserve">TEV Weights by Fiscal Year (weight = each REIT's Stabilized TEV / combined Stabilized TEV). DECISION (Chip, 2026-07-20): office composite weighted on the SAME basis as the industrial composite (stabilized-TEV-weighted), superseding the 2026-07-17 equal-weight decision. The composite is deliberately lopsided toward BXP (roughly two-thirds of combined TEV), reflecting actual public-market scale.</t>
  </si>
  <si>
    <t xml:space="preserve">BXP Stab TEV ($M)</t>
  </si>
  <si>
    <t xml:space="preserve">CUZ Stab TEV ($M)</t>
  </si>
  <si>
    <t xml:space="preserve">HIW Stab TEV ($M)</t>
  </si>
  <si>
    <t xml:space="preserve">Combined Stab TEV ($M)</t>
  </si>
  <si>
    <t xml:space="preserve">w(BXP)</t>
  </si>
  <si>
    <t xml:space="preserve">w(CUZ)</t>
  </si>
  <si>
    <t xml:space="preserve">w(HIW)</t>
  </si>
  <si>
    <t xml:space="preserve">Source Grids: live mirror of the BXP Final, CUZ Final, and HIW Final tabs (for QC; values recompute from the source tabs)</t>
  </si>
  <si>
    <t xml:space="preserve">BXP Final (source)</t>
  </si>
  <si>
    <t xml:space="preserve">CUZ Final (source)</t>
  </si>
  <si>
    <t xml:space="preserve">HIW Final (source)</t>
  </si>
  <si>
    <t xml:space="preserve">Composite vs. Market: Public-Market Pricing and Office Fundamentals, 2016-2025</t>
  </si>
  <si>
    <t xml:space="preserve">All cells derived by formula from the Composite tab (equal-weighted BXP/CUZ/HIW) and the FRED macro tabs, plus the CoStar and Green Street office market tabs already loaded in this workbook. Column structure mirrors the per-REIT vs Market tabs exactly.</t>
  </si>
  <si>
    <t xml:space="preserve">Composite Stabilized Implied Cap Rate (%)</t>
  </si>
  <si>
    <t xml:space="preserve">Composite Stabilized Leveraged Equity Yield (%)</t>
  </si>
  <si>
    <t xml:space="preserve">Composite Stabilized Implied Cap Rate (%): Annual NOI divided by stabilized TEV (stabilized TEV is defined below).</t>
  </si>
  <si>
    <t xml:space="preserve">Composite Stabilized Leveraged Equity Yield (%): leveraged property cash flow divided by stabilized market cap (both defined below).</t>
  </si>
  <si>
    <t xml:space="preserve">Annual NOI ($M): equal-weighted composite of BXP share-basis NOI, CUZ share-basis NOI, and HIW consolidated NOI; see the Composite tab's basis caution.</t>
  </si>
  <si>
    <t xml:space="preserve">Leveraged Property Cash Flow ($M): composite Annual NOI less composite annual interest paid (see Composite tab).</t>
  </si>
  <si>
    <t xml:space="preserve">CoStar National Office: Annual Series (2016-2025)</t>
  </si>
  <si>
    <t xml:space="preserve">Source: CoStar national office DataTable, verified 2026-07. Proprietary; licensed via MIT CRE. Not for public redistribution.</t>
  </si>
  <si>
    <t xml:space="preserve">Year</t>
  </si>
  <si>
    <t xml:space="preserve">Vacancy Rate (%)</t>
  </si>
  <si>
    <t xml:space="preserve">National Occupancy (%)</t>
  </si>
  <si>
    <t xml:space="preserve">Occupancy Change, YoY (pp)</t>
  </si>
  <si>
    <t xml:space="preserve">Market Asking Rent Growth (%)</t>
  </si>
  <si>
    <t xml:space="preserve">Market Asking Rent ($/SF)</t>
  </si>
  <si>
    <t xml:space="preserve">Market Asking Rent (2016 = 100)</t>
  </si>
  <si>
    <t xml:space="preserve">Net Deliveries (% of Inventory)</t>
  </si>
  <si>
    <t xml:space="preserve">n/a</t>
  </si>
  <si>
    <t xml:space="preserve">Notes:</t>
  </si>
  <si>
    <t xml:space="preserve">All series are CoStar national office aggregates, annual. National Occupancy = 1 less Vacancy Rate. Occupancy Change is the year-over-year change in occupancy, in percentage points (2016 has no prior year).</t>
  </si>
  <si>
    <t xml:space="preserve">Market Asking Rent (2016 = 100) re-indexes CoStar Market Asking Rent per SF so that 2016 = 100.</t>
  </si>
  <si>
    <t xml:space="preserve">Net Deliveries (% of Inventory) = CoStar Net Delivered SF divided by Inventory SF. This is the completions measure, matching the industrial CoStar tab (which carried a Net Delivered SF column). It cross-checks against year-over-year inventory growth to within one basis point. Note: net of demolitions, so 2025 is slightly negative.</t>
  </si>
  <si>
    <t xml:space="preserve">CoStar; proprietary, licensed via MIT CRE. Not for public redistribution.</t>
  </si>
  <si>
    <t xml:space="preserve">Green Street Office: National (51-Market Weighted Average)</t>
  </si>
  <si>
    <t xml:space="preserve">Source: Green Street standardized office downloads, verified 2026-07. Weighted Average row of the 51-market panels.</t>
  </si>
  <si>
    <t xml:space="preserve">Supply Growth (%)</t>
  </si>
  <si>
    <t xml:space="preserve">Market-RevPAF Growth (%)</t>
  </si>
  <si>
    <t xml:space="preserve">Nominal Cap Rate, 4Q (%)</t>
  </si>
  <si>
    <t xml:space="preserve">CPPI, 4Q</t>
  </si>
  <si>
    <t xml:space="preserve">CPPI (2016 = 100)</t>
  </si>
  <si>
    <t xml:space="preserve">Period Type</t>
  </si>
  <si>
    <t xml:space="preserve">Supply Growth, Actual (%)</t>
  </si>
  <si>
    <t xml:space="preserve">Supply Growth, Green Street Forecast (%)</t>
  </si>
  <si>
    <t xml:space="preserve">Actual</t>
  </si>
  <si>
    <t xml:space="preserve">Forecast (Green Street)</t>
  </si>
  <si>
    <t xml:space="preserve">Supply Growth and Market-RevPAF Growth are annual series; 2026-2030 values are Green Street forecasts. Nominal Cap Rate and CPPI are quarterly series (1Q05-2Q26); annual rows carry the 4Q value of each year.</t>
  </si>
  <si>
    <t xml:space="preserve">CPPI (2016 = 100) re-indexes the office 4Q CPPI weighted average so that 4Q2016 = 100, matching the convention used on the industrial Green Street National tab. The raw office CPPI weighted-average level (col E) is on Green Street’s own office scale and is not comparable across sectors.</t>
  </si>
  <si>
    <t xml:space="preserve">Columns H and I split Supply Growth into actual (through 2025) and Green Street forecast (2026-2030), mirroring the industrial tab.</t>
  </si>
  <si>
    <t xml:space="preserve">Weighted Average row of the 51-market Green Street standardized office downloads. Proprietary; licensed via MIT CRE. Not for public redistribution.</t>
  </si>
  <si>
    <t xml:space="preserve">Inflation: CPI vs. Non-Residential Construction PPI</t>
  </si>
  <si>
    <t xml:space="preserve">Source: FRED, annual frequency (annual average of monthly observations). Carried from industrial-reit-metrics.xlsx Inflation tab.</t>
  </si>
  <si>
    <t xml:space="preserve">WPU801 (PPI, Nonres Construction)</t>
  </si>
  <si>
    <t xml:space="preserve">CPIAUCSL (CPI)</t>
  </si>
  <si>
    <t xml:space="preserve">Construction PPI, YoY (%)</t>
  </si>
  <si>
    <t xml:space="preserve">10-Yr UST Yield, year-end (FRED DGS10)</t>
  </si>
  <si>
    <t xml:space="preserve">Source: FRED series DGS10, year-end observation. Carried from industrial-reit-metrics.xlsx. STORED AS TRUE FRACTIONS (source tab is in percent units).</t>
  </si>
  <si>
    <t xml:space="preserve">MPRIME: Bank Prime Loan Rate (annual avg, NSA)</t>
  </si>
  <si>
    <t xml:space="preserve">Source: FRED series MPRIME, Board of Governors of the Federal Reserve System, annual frequency. Carried from industrial-reit-metrics.xlsx. STORED AS TRUE FRACTIONS (source tab is in percent units).</t>
  </si>
</sst>
</file>

<file path=xl/styles.xml><?xml version="1.0" encoding="utf-8"?>
<styleSheet xmlns="http://schemas.openxmlformats.org/spreadsheetml/2006/main">
  <numFmts count="15">
    <numFmt numFmtId="164" formatCode="General"/>
    <numFmt numFmtId="165" formatCode="#,##0"/>
    <numFmt numFmtId="166" formatCode="0.00"/>
    <numFmt numFmtId="167" formatCode="0.000"/>
    <numFmt numFmtId="168" formatCode="0.00%"/>
    <numFmt numFmtId="169" formatCode="0.0\x"/>
    <numFmt numFmtId="170" formatCode="0.0%"/>
    <numFmt numFmtId="171" formatCode="0"/>
    <numFmt numFmtId="172" formatCode="\$0.00"/>
    <numFmt numFmtId="173" formatCode="0.0"/>
    <numFmt numFmtId="174" formatCode="0%"/>
    <numFmt numFmtId="175" formatCode="0.0000"/>
    <numFmt numFmtId="176" formatCode="#,##0.0"/>
    <numFmt numFmtId="177" formatCode="#,##0.00"/>
    <numFmt numFmtId="178" formatCode="#,##0.000"/>
  </numFmts>
  <fonts count="21">
    <font>
      <sz val="11"/>
      <color theme="1"/>
      <name val="Calibri"/>
      <family val="2"/>
      <charset val="1"/>
    </font>
    <font>
      <sz val="10"/>
      <name val="Arial"/>
      <family val="0"/>
    </font>
    <font>
      <sz val="10"/>
      <name val="Arial"/>
      <family val="0"/>
    </font>
    <font>
      <sz val="10"/>
      <name val="Arial"/>
      <family val="0"/>
    </font>
    <font>
      <b val="true"/>
      <sz val="9"/>
      <name val="Arial"/>
      <family val="0"/>
      <charset val="1"/>
    </font>
    <font>
      <sz val="9"/>
      <name val="Arial"/>
      <family val="0"/>
      <charset val="1"/>
    </font>
    <font>
      <b val="true"/>
      <sz val="12"/>
      <name val="Arial"/>
      <family val="0"/>
      <charset val="1"/>
    </font>
    <font>
      <i val="true"/>
      <sz val="9"/>
      <color rgb="FFA31F34"/>
      <name val="Arial"/>
      <family val="0"/>
      <charset val="1"/>
    </font>
    <font>
      <b val="true"/>
      <sz val="10"/>
      <name val="Arial"/>
      <family val="0"/>
      <charset val="1"/>
    </font>
    <font>
      <i val="true"/>
      <sz val="8"/>
      <color rgb="FF777777"/>
      <name val="Arial"/>
      <family val="0"/>
      <charset val="1"/>
    </font>
    <font>
      <sz val="10"/>
      <name val="Arial"/>
      <family val="0"/>
      <charset val="1"/>
    </font>
    <font>
      <sz val="10"/>
      <color rgb="FF0000FF"/>
      <name val="Arial"/>
      <family val="0"/>
      <charset val="1"/>
    </font>
    <font>
      <sz val="10"/>
      <color rgb="FF008000"/>
      <name val="Arial"/>
      <family val="0"/>
      <charset val="1"/>
    </font>
    <font>
      <i val="true"/>
      <sz val="9"/>
      <name val="Arial"/>
      <family val="0"/>
      <charset val="1"/>
    </font>
    <font>
      <sz val="10"/>
      <name val="Arial"/>
      <family val="2"/>
    </font>
    <font>
      <b val="true"/>
      <sz val="11"/>
      <name val="Calibri"/>
      <family val="0"/>
      <charset val="1"/>
    </font>
    <font>
      <sz val="11"/>
      <name val="Calibri"/>
      <family val="0"/>
      <charset val="1"/>
    </font>
    <font>
      <b val="true"/>
      <sz val="12"/>
      <color rgb="FF000000"/>
      <name val="Calibri"/>
      <family val="2"/>
    </font>
    <font>
      <sz val="10"/>
      <color rgb="FF000000"/>
      <name val="Calibri"/>
      <family val="2"/>
    </font>
    <font>
      <b val="true"/>
      <sz val="18"/>
      <color rgb="FF000000"/>
      <name val="Calibri"/>
      <family val="2"/>
    </font>
    <font>
      <b val="true"/>
      <sz val="10"/>
      <color rgb="FF000000"/>
      <name val="Calibri"/>
      <family val="2"/>
    </font>
  </fonts>
  <fills count="2">
    <fill>
      <patternFill patternType="none"/>
    </fill>
    <fill>
      <patternFill patternType="gray125"/>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2">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general" vertical="bottom" textRotation="0" wrapText="false" indent="0" shrinkToFit="false"/>
      <protection locked="true" hidden="false"/>
    </xf>
    <xf numFmtId="164" fontId="5" fillId="0" borderId="0" xfId="0" applyFont="true" applyBorder="false" applyAlignment="true" applyProtection="false">
      <alignment horizontal="general" vertical="bottom" textRotation="0" wrapText="false" indent="0" shrinkToFit="false"/>
      <protection locked="true" hidden="false"/>
    </xf>
    <xf numFmtId="164" fontId="6" fillId="0" borderId="0" xfId="0" applyFont="true" applyBorder="false" applyAlignment="true" applyProtection="false">
      <alignment horizontal="general" vertical="bottom" textRotation="0" wrapText="false" indent="0" shrinkToFit="false"/>
      <protection locked="true" hidden="false"/>
    </xf>
    <xf numFmtId="164" fontId="7" fillId="0" borderId="0" xfId="0" applyFont="true" applyBorder="false" applyAlignment="true" applyProtection="false">
      <alignment horizontal="general" vertical="bottom" textRotation="0" wrapText="false" indent="0" shrinkToFit="false"/>
      <protection locked="true" hidden="false"/>
    </xf>
    <xf numFmtId="164" fontId="8" fillId="0" borderId="0" xfId="0" applyFont="true" applyBorder="false" applyAlignment="true" applyProtection="false">
      <alignment horizontal="general" vertical="bottom" textRotation="0" wrapText="false" indent="0" shrinkToFit="false"/>
      <protection locked="true" hidden="false"/>
    </xf>
    <xf numFmtId="164" fontId="9" fillId="0" borderId="0" xfId="0" applyFont="true" applyBorder="false" applyAlignment="tru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general" vertical="bottom" textRotation="0" wrapText="true" indent="0" shrinkToFit="false"/>
      <protection locked="true" hidden="false"/>
    </xf>
    <xf numFmtId="165" fontId="10" fillId="0" borderId="0" xfId="0" applyFont="true" applyBorder="false" applyAlignment="true" applyProtection="false">
      <alignment horizontal="general" vertical="bottom" textRotation="0" wrapText="false" indent="0" shrinkToFit="false"/>
      <protection locked="true" hidden="false"/>
    </xf>
    <xf numFmtId="166" fontId="11" fillId="0" borderId="0" xfId="0" applyFont="true" applyBorder="false" applyAlignment="true" applyProtection="false">
      <alignment horizontal="general" vertical="bottom" textRotation="0" wrapText="false" indent="0" shrinkToFit="false"/>
      <protection locked="true" hidden="false"/>
    </xf>
    <xf numFmtId="167" fontId="11" fillId="0" borderId="0" xfId="0" applyFont="true" applyBorder="false" applyAlignment="true" applyProtection="false">
      <alignment horizontal="general" vertical="bottom" textRotation="0" wrapText="false" indent="0" shrinkToFit="false"/>
      <protection locked="true" hidden="false"/>
    </xf>
    <xf numFmtId="165" fontId="11" fillId="0" borderId="0" xfId="0" applyFont="true" applyBorder="false" applyAlignment="true" applyProtection="false">
      <alignment horizontal="general" vertical="bottom" textRotation="0" wrapText="false" indent="0" shrinkToFit="false"/>
      <protection locked="true" hidden="false"/>
    </xf>
    <xf numFmtId="168" fontId="12" fillId="0" borderId="0" xfId="0" applyFont="true" applyBorder="false" applyAlignment="true" applyProtection="false">
      <alignment horizontal="general" vertical="bottom" textRotation="0" wrapText="false" indent="0" shrinkToFit="false"/>
      <protection locked="true" hidden="false"/>
    </xf>
    <xf numFmtId="168" fontId="10" fillId="0" borderId="0" xfId="0" applyFont="true" applyBorder="false" applyAlignment="true" applyProtection="false">
      <alignment horizontal="general" vertical="bottom" textRotation="0" wrapText="false" indent="0" shrinkToFit="false"/>
      <protection locked="true" hidden="false"/>
    </xf>
    <xf numFmtId="169" fontId="10" fillId="0" borderId="0" xfId="0" applyFont="true" applyBorder="false" applyAlignment="true" applyProtection="false">
      <alignment horizontal="general" vertical="bottom" textRotation="0" wrapText="false" indent="0" shrinkToFit="false"/>
      <protection locked="true" hidden="false"/>
    </xf>
    <xf numFmtId="170" fontId="11" fillId="0" borderId="0" xfId="0" applyFont="true" applyBorder="false" applyAlignment="true" applyProtection="false">
      <alignment horizontal="general" vertical="bottom" textRotation="0" wrapText="false" indent="0" shrinkToFit="false"/>
      <protection locked="true" hidden="false"/>
    </xf>
    <xf numFmtId="168" fontId="11" fillId="0" borderId="0" xfId="0" applyFont="true" applyBorder="false" applyAlignment="true" applyProtection="false">
      <alignment horizontal="general" vertical="bottom" textRotation="0" wrapText="false" indent="0" shrinkToFit="false"/>
      <protection locked="true" hidden="false"/>
    </xf>
    <xf numFmtId="164" fontId="13" fillId="0" borderId="0" xfId="0" applyFont="true" applyBorder="false" applyAlignment="true" applyProtection="false">
      <alignment horizontal="general" vertical="bottom" textRotation="0" wrapText="false" indent="0" shrinkToFit="false"/>
      <protection locked="true" hidden="false"/>
    </xf>
    <xf numFmtId="167" fontId="10" fillId="0" borderId="0" xfId="0" applyFont="true" applyBorder="false" applyAlignment="true" applyProtection="false">
      <alignment horizontal="general" vertical="bottom" textRotation="0" wrapText="false" indent="0" shrinkToFit="false"/>
      <protection locked="true" hidden="false"/>
    </xf>
    <xf numFmtId="166" fontId="10" fillId="0" borderId="0" xfId="0" applyFont="true" applyBorder="false" applyAlignment="true" applyProtection="false">
      <alignment horizontal="general" vertical="bottom" textRotation="0" wrapText="false" indent="0" shrinkToFit="false"/>
      <protection locked="true" hidden="false"/>
    </xf>
    <xf numFmtId="164" fontId="15" fillId="0" borderId="0" xfId="0" applyFont="true" applyBorder="false" applyAlignment="true" applyProtection="false">
      <alignment horizontal="center" vertical="bottom" textRotation="0" wrapText="true" indent="0" shrinkToFit="false"/>
      <protection locked="true" hidden="false"/>
    </xf>
    <xf numFmtId="164" fontId="10" fillId="0" borderId="0" xfId="0" applyFont="true" applyBorder="false" applyAlignment="true" applyProtection="false">
      <alignment horizontal="general" vertical="bottom" textRotation="0" wrapText="false" indent="0" shrinkToFit="false"/>
      <protection locked="true" hidden="false"/>
    </xf>
    <xf numFmtId="170" fontId="10" fillId="0" borderId="0" xfId="0" applyFont="true" applyBorder="false" applyAlignment="true" applyProtection="false">
      <alignment horizontal="general" vertical="bottom" textRotation="0" wrapText="false" indent="0" shrinkToFit="false"/>
      <protection locked="true" hidden="false"/>
    </xf>
    <xf numFmtId="164" fontId="16" fillId="0" borderId="0" xfId="0" applyFont="true" applyBorder="false" applyAlignment="true" applyProtection="false">
      <alignment horizontal="center" vertical="bottom" textRotation="0" wrapText="false" indent="0" shrinkToFit="false"/>
      <protection locked="true" hidden="false"/>
    </xf>
    <xf numFmtId="164" fontId="11" fillId="0" borderId="0" xfId="0" applyFont="true" applyBorder="false" applyAlignment="true" applyProtection="false">
      <alignment horizontal="general" vertical="bottom" textRotation="0" wrapText="false" indent="0" shrinkToFit="false"/>
      <protection locked="true" hidden="false"/>
    </xf>
    <xf numFmtId="175" fontId="10" fillId="0" borderId="0" xfId="0" applyFont="true" applyBorder="false" applyAlignment="true" applyProtection="false">
      <alignment horizontal="general" vertical="bottom" textRotation="0" wrapText="false" indent="0" shrinkToFit="false"/>
      <protection locked="true" hidden="false"/>
    </xf>
    <xf numFmtId="170" fontId="13" fillId="0" borderId="0" xfId="0" applyFont="true" applyBorder="false" applyAlignment="true" applyProtection="false">
      <alignment horizontal="general" vertical="bottom" textRotation="0" wrapText="false" indent="0" shrinkToFit="false"/>
      <protection locked="true" hidden="false"/>
    </xf>
    <xf numFmtId="172" fontId="11" fillId="0" borderId="0" xfId="0" applyFont="true" applyBorder="false" applyAlignment="true" applyProtection="false">
      <alignment horizontal="general" vertical="bottom" textRotation="0" wrapText="false" indent="0" shrinkToFit="false"/>
      <protection locked="true" hidden="false"/>
    </xf>
    <xf numFmtId="176" fontId="11" fillId="0" borderId="0" xfId="0" applyFont="true" applyBorder="false" applyAlignment="true" applyProtection="false">
      <alignment horizontal="general" vertical="bottom" textRotation="0" wrapText="false" indent="0" shrinkToFit="false"/>
      <protection locked="true" hidden="false"/>
    </xf>
    <xf numFmtId="177" fontId="11" fillId="0" borderId="0" xfId="0" applyFont="true" applyBorder="false" applyAlignment="true" applyProtection="false">
      <alignment horizontal="general" vertical="bottom" textRotation="0" wrapText="false" indent="0" shrinkToFit="false"/>
      <protection locked="true" hidden="false"/>
    </xf>
    <xf numFmtId="178" fontId="11" fillId="0" borderId="0" xfId="0" applyFont="true" applyBorder="false" applyAlignment="tru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C08A00"/>
      <rgbColor rgb="FF800080"/>
      <rgbColor rgb="FF008080"/>
      <rgbColor rgb="FFB3B3B3"/>
      <rgbColor rgb="FF777777"/>
      <rgbColor rgb="FF9DBB9D"/>
      <rgbColor rgb="FFA31F34"/>
      <rgbColor rgb="FFFFFFCC"/>
      <rgbColor rgb="FFCCFFFF"/>
      <rgbColor rgb="FF660066"/>
      <rgbColor rgb="FFB87B85"/>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A9BCD1"/>
      <rgbColor rgb="FFD9A0A8"/>
      <rgbColor rgb="FFCC99FF"/>
      <rgbColor rgb="FFFFCC99"/>
      <rgbColor rgb="FF3366FF"/>
      <rgbColor rgb="FF33CCCC"/>
      <rgbColor rgb="FF99CC00"/>
      <rgbColor rgb="FFFFCC00"/>
      <rgbColor rgb="FFFF9900"/>
      <rgbColor rgb="FFFF6600"/>
      <rgbColor rgb="FF666699"/>
      <rgbColor rgb="FF8A8A8A"/>
      <rgbColor rgb="FF1F3B57"/>
      <rgbColor rgb="FF7A9A7A"/>
      <rgbColor rgb="FF003300"/>
      <rgbColor rgb="FF333300"/>
      <rgbColor rgb="FF993300"/>
      <rgbColor rgb="FF993366"/>
      <rgbColor rgb="FF333399"/>
      <rgbColor rgb="FF3A3A3A"/>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worksheet" Target="worksheets/sheet9.xml"/><Relationship Id="rId12" Type="http://schemas.openxmlformats.org/officeDocument/2006/relationships/worksheet" Target="worksheets/sheet10.xml"/><Relationship Id="rId13" Type="http://schemas.openxmlformats.org/officeDocument/2006/relationships/worksheet" Target="worksheets/sheet11.xml"/><Relationship Id="rId14" Type="http://schemas.openxmlformats.org/officeDocument/2006/relationships/worksheet" Target="worksheets/sheet12.xml"/><Relationship Id="rId15" Type="http://schemas.openxmlformats.org/officeDocument/2006/relationships/worksheet" Target="worksheets/sheet13.xml"/><Relationship Id="rId16" Type="http://schemas.openxmlformats.org/officeDocument/2006/relationships/worksheet" Target="worksheets/sheet14.xml"/><Relationship Id="rId17" Type="http://schemas.openxmlformats.org/officeDocument/2006/relationships/worksheet" Target="worksheets/sheet15.xml"/><Relationship Id="rId18" Type="http://schemas.openxmlformats.org/officeDocument/2006/relationships/sharedStrings" Target="sharedStrings.xml"/>
</Relationships>
</file>

<file path=xl/charts/chart1.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lang="en-US" sz="1200" spc="-1" strike="noStrike">
                <a:solidFill>
                  <a:srgbClr val="000000"/>
                </a:solidFill>
                <a:latin typeface="Calibri"/>
              </a:defRPr>
            </a:pPr>
            <a:r>
              <a:rPr b="1" lang="en-US" sz="1200" spc="-1" strike="noStrike">
                <a:solidFill>
                  <a:srgbClr val="000000"/>
                </a:solidFill>
                <a:latin typeface="Calibri"/>
              </a:rPr>
              <a:t>Operating Fundamentals: CoStar Market Asking Rent ($/SF) (2016-2025)</a:t>
            </a:r>
          </a:p>
        </c:rich>
      </c:tx>
      <c:overlay val="0"/>
      <c:spPr>
        <a:noFill/>
        <a:ln w="0">
          <a:noFill/>
        </a:ln>
      </c:spPr>
    </c:title>
    <c:autoTitleDeleted val="0"/>
    <c:plotArea>
      <c:layout>
        <c:manualLayout>
          <c:layoutTarget val="inner"/>
          <c:xMode val="edge"/>
          <c:yMode val="edge"/>
          <c:x val="0.100072876639724"/>
          <c:y val="0.160271228232393"/>
          <c:w val="0.799092354577978"/>
          <c:h val="0.619355832948066"/>
        </c:manualLayout>
      </c:layout>
      <c:scatterChart>
        <c:scatterStyle val="lineMarker"/>
        <c:varyColors val="0"/>
        <c:ser>
          <c:idx val="0"/>
          <c:order val="0"/>
          <c:tx>
            <c:strRef>
              <c:f>"CoStar Market Asking Rent ($/SF)"</c:f>
              <c:strCache>
                <c:ptCount val="1"/>
                <c:pt idx="0">
                  <c:v>CoStar Market Asking Rent ($/SF)</c:v>
                </c:pt>
              </c:strCache>
            </c:strRef>
          </c:tx>
          <c:spPr>
            <a:solidFill>
              <a:srgbClr val="1f3b57"/>
            </a:solidFill>
            <a:ln w="28440">
              <a:solidFill>
                <a:srgbClr val="1f3b57"/>
              </a:solidFill>
              <a:round/>
            </a:ln>
          </c:spPr>
          <c:marker>
            <c:symbol val="circle"/>
            <c:size val="5"/>
            <c:spPr>
              <a:solidFill>
                <a:srgbClr val="1f3b57"/>
              </a:solidFill>
            </c:spPr>
          </c:marker>
          <c:dPt>
            <c:idx val="0"/>
            <c:marker>
              <c:symbol val="circle"/>
              <c:size val="5"/>
              <c:spPr>
                <a:solidFill>
                  <a:srgbClr val="1f3b57"/>
                </a:solidFill>
              </c:spPr>
            </c:marker>
          </c:dPt>
          <c:dPt>
            <c:idx val="1"/>
            <c:marker>
              <c:symbol val="circle"/>
              <c:size val="5"/>
              <c:spPr>
                <a:solidFill>
                  <a:srgbClr val="1f3b57"/>
                </a:solidFill>
              </c:spPr>
            </c:marker>
          </c:dPt>
          <c:dPt>
            <c:idx val="2"/>
            <c:marker>
              <c:symbol val="circle"/>
              <c:size val="5"/>
              <c:spPr>
                <a:solidFill>
                  <a:srgbClr val="1f3b57"/>
                </a:solidFill>
              </c:spPr>
            </c:marker>
          </c:dPt>
          <c:dPt>
            <c:idx val="3"/>
            <c:marker>
              <c:symbol val="circle"/>
              <c:size val="5"/>
              <c:spPr>
                <a:solidFill>
                  <a:srgbClr val="1f3b57"/>
                </a:solidFill>
              </c:spPr>
            </c:marker>
          </c:dPt>
          <c:dPt>
            <c:idx val="4"/>
            <c:marker>
              <c:symbol val="circle"/>
              <c:size val="5"/>
              <c:spPr>
                <a:solidFill>
                  <a:srgbClr val="1f3b57"/>
                </a:solidFill>
              </c:spPr>
            </c:marker>
          </c:dPt>
          <c:dPt>
            <c:idx val="5"/>
            <c:marker>
              <c:symbol val="circle"/>
              <c:size val="5"/>
              <c:spPr>
                <a:solidFill>
                  <a:srgbClr val="1f3b57"/>
                </a:solidFill>
              </c:spPr>
            </c:marker>
          </c:dPt>
          <c:dPt>
            <c:idx val="6"/>
            <c:marker>
              <c:symbol val="circle"/>
              <c:size val="5"/>
              <c:spPr>
                <a:solidFill>
                  <a:srgbClr val="1f3b57"/>
                </a:solidFill>
              </c:spPr>
            </c:marker>
          </c:dPt>
          <c:dPt>
            <c:idx val="7"/>
            <c:marker>
              <c:symbol val="circle"/>
              <c:size val="5"/>
              <c:spPr>
                <a:solidFill>
                  <a:srgbClr val="1f3b57"/>
                </a:solidFill>
              </c:spPr>
            </c:marker>
          </c:dPt>
          <c:dPt>
            <c:idx val="8"/>
            <c:marker>
              <c:symbol val="circle"/>
              <c:size val="5"/>
              <c:spPr>
                <a:solidFill>
                  <a:srgbClr val="1f3b57"/>
                </a:solidFill>
              </c:spPr>
            </c:marker>
          </c:dPt>
          <c:dPt>
            <c:idx val="9"/>
            <c:marker>
              <c:symbol val="circle"/>
              <c:size val="5"/>
              <c:spPr>
                <a:solidFill>
                  <a:srgbClr val="1f3b57"/>
                </a:solidFill>
              </c:spPr>
            </c:marker>
          </c:dPt>
          <c:dLbls>
            <c:dLbl>
              <c:idx val="0"/>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1"/>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2"/>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3"/>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4"/>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5"/>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6"/>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7"/>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8"/>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9"/>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0"/>
            <c:extLst>
              <c:ext xmlns:c15="http://schemas.microsoft.com/office/drawing/2012/chart" uri="{CE6537A1-D6FC-4f65-9D91-7224C49458BB}">
                <c15:showLeaderLines val="0"/>
              </c:ext>
            </c:extLst>
          </c:dLbls>
          <c:xVal>
            <c:numRef>
              <c:f>'BXP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'BXP vs Market'!$AA$4:$AA$13</c:f>
              <c:numCache>
                <c:formatCode>#,##0</c:formatCode>
                <c:ptCount val="10"/>
                <c:pt idx="0">
                  <c:v>31.6313190637154</c:v>
                </c:pt>
                <c:pt idx="1">
                  <c:v>32.3851045859914</c:v>
                </c:pt>
                <c:pt idx="2">
                  <c:v>33.365978832824</c:v>
                </c:pt>
                <c:pt idx="3">
                  <c:v>34.5498725143906</c:v>
                </c:pt>
                <c:pt idx="4">
                  <c:v>34.0125009840526</c:v>
                </c:pt>
                <c:pt idx="5">
                  <c:v>34.3147010369627</c:v>
                </c:pt>
                <c:pt idx="6">
                  <c:v>34.9589096868985</c:v>
                </c:pt>
                <c:pt idx="7">
                  <c:v>35.3207484274751</c:v>
                </c:pt>
                <c:pt idx="8">
                  <c:v>36.0129883425729</c:v>
                </c:pt>
                <c:pt idx="9">
                  <c:v>36.7572621381188</c:v>
                </c:pt>
              </c:numCache>
            </c:numRef>
          </c:yVal>
          <c:smooth val="0"/>
        </c:ser>
        <c:axId val="54973205"/>
        <c:axId val="40153106"/>
      </c:scatterChart>
      <c:valAx>
        <c:axId val="54973205"/>
        <c:scaling>
          <c:orientation val="minMax"/>
        </c:scaling>
        <c:delete val="0"/>
        <c:axPos val="b"/>
        <c:numFmt formatCode="0" sourceLinked="0"/>
        <c:majorTickMark val="none"/>
        <c:minorTickMark val="none"/>
        <c:tickLblPos val="low"/>
        <c:spPr>
          <a:ln w="0">
            <a:solidFill>
              <a:srgbClr val="b3b3b3"/>
            </a:solidFill>
          </a:ln>
        </c:spPr>
        <c:txPr>
          <a:bodyPr/>
          <a:lstStyle/>
          <a:p>
            <a:pPr>
              <a:defRPr b="0" sz="1000" spc="-1" strike="noStrike">
                <a:solidFill>
                  <a:srgbClr val="000000"/>
                </a:solidFill>
                <a:latin typeface="Calibri"/>
              </a:defRPr>
            </a:pPr>
          </a:p>
        </c:txPr>
        <c:crossAx val="40153106"/>
        <c:crosses val="autoZero"/>
        <c:crossBetween val="midCat"/>
        <c:majorUnit val="1"/>
      </c:valAx>
      <c:valAx>
        <c:axId val="40153106"/>
        <c:scaling>
          <c:orientation val="minMax"/>
        </c:scaling>
        <c:delete val="0"/>
        <c:axPos val="l"/>
        <c:majorGridlines>
          <c:spPr>
            <a:ln w="0">
              <a:solidFill>
                <a:srgbClr val="b3b3b3"/>
              </a:solidFill>
            </a:ln>
          </c:spPr>
        </c:majorGridlines>
        <c:numFmt formatCode="\$0.00"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54973205"/>
        <c:crosses val="autoZero"/>
        <c:crossBetween val="midCat"/>
      </c:valAx>
      <c:spPr>
        <a:noFill/>
        <a:ln w="0">
          <a:noFill/>
        </a:ln>
      </c:spPr>
    </c:plotArea>
    <c:plotVisOnly val="1"/>
    <c:dispBlanksAs val="gap"/>
  </c:chart>
  <c:spPr>
    <a:solidFill>
      <a:srgbClr val="ffffff"/>
    </a:solidFill>
    <a:ln w="9360">
      <a:solidFill>
        <a:srgbClr val="d9d9d9"/>
      </a:solidFill>
      <a:round/>
    </a:ln>
  </c:spPr>
</c:chartSpace>
</file>

<file path=xl/charts/chart10.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lang="en-US" sz="1200" spc="-1" strike="noStrike">
                <a:solidFill>
                  <a:srgbClr val="000000"/>
                </a:solidFill>
                <a:latin typeface="Calibri"/>
              </a:defRPr>
            </a:pPr>
            <a:r>
              <a:rPr b="1" lang="en-US" sz="1200" spc="-1" strike="noStrike">
                <a:solidFill>
                  <a:srgbClr val="000000"/>
                </a:solidFill>
                <a:latin typeface="Calibri"/>
              </a:rPr>
              <a:t>Market Asking Rent and Occupancy (2016-2025)
Left axis: CoStar market asking rent, $/SF. Right axis: occupancy (100% less vacancy).</a:t>
            </a:r>
          </a:p>
        </c:rich>
      </c:tx>
      <c:overlay val="0"/>
      <c:spPr>
        <a:noFill/>
        <a:ln w="0">
          <a:noFill/>
        </a:ln>
      </c:spPr>
    </c:title>
    <c:autoTitleDeleted val="0"/>
    <c:plotArea>
      <c:layout>
        <c:manualLayout>
          <c:layoutTarget val="inner"/>
          <c:xMode val="edge"/>
          <c:yMode val="edge"/>
          <c:x val="0.100072876639724"/>
          <c:y val="0.160271228232393"/>
          <c:w val="0.799092354577978"/>
          <c:h val="0.619355832948066"/>
        </c:manualLayout>
      </c:layout>
      <c:scatterChart>
        <c:scatterStyle val="lineMarker"/>
        <c:varyColors val="0"/>
        <c:ser>
          <c:idx val="0"/>
          <c:order val="0"/>
          <c:tx>
            <c:strRef>
              <c:f>"CoStar Market Asking Rent ($/SF, left)"</c:f>
              <c:strCache>
                <c:ptCount val="1"/>
                <c:pt idx="0">
                  <c:v>CoStar Market Asking Rent ($/SF, left)</c:v>
                </c:pt>
              </c:strCache>
            </c:strRef>
          </c:tx>
          <c:spPr>
            <a:solidFill>
              <a:srgbClr val="a31f34"/>
            </a:solidFill>
            <a:ln w="28440">
              <a:solidFill>
                <a:srgbClr val="a31f34"/>
              </a:solidFill>
              <a:round/>
            </a:ln>
          </c:spPr>
          <c:marker>
            <c:symbol val="circle"/>
            <c:size val="5"/>
            <c:spPr>
              <a:solidFill>
                <a:srgbClr val="a31f34"/>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0"/>
            <c:extLst>
              <c:ext xmlns:c15="http://schemas.microsoft.com/office/drawing/2012/chart" uri="{CE6537A1-D6FC-4f65-9D91-7224C49458BB}">
                <c15:showLeaderLines val="0"/>
              </c:ext>
            </c:extLst>
          </c:dLbls>
          <c:xVal>
            <c:numRef>
              <c:f>'BXP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'BXP vs Market'!$AA$4:$AA$13</c:f>
              <c:numCache>
                <c:formatCode>#,##0</c:formatCode>
                <c:ptCount val="10"/>
                <c:pt idx="0">
                  <c:v>31.6313190637154</c:v>
                </c:pt>
                <c:pt idx="1">
                  <c:v>32.3851045859914</c:v>
                </c:pt>
                <c:pt idx="2">
                  <c:v>33.365978832824</c:v>
                </c:pt>
                <c:pt idx="3">
                  <c:v>34.5498725143906</c:v>
                </c:pt>
                <c:pt idx="4">
                  <c:v>34.0125009840526</c:v>
                </c:pt>
                <c:pt idx="5">
                  <c:v>34.3147010369627</c:v>
                </c:pt>
                <c:pt idx="6">
                  <c:v>34.9589096868985</c:v>
                </c:pt>
                <c:pt idx="7">
                  <c:v>35.3207484274751</c:v>
                </c:pt>
                <c:pt idx="8">
                  <c:v>36.0129883425729</c:v>
                </c:pt>
                <c:pt idx="9">
                  <c:v>36.7572621381188</c:v>
                </c:pt>
              </c:numCache>
            </c:numRef>
          </c:yVal>
          <c:smooth val="0"/>
        </c:ser>
        <c:axId val="49212574"/>
        <c:axId val="51676965"/>
      </c:scatterChart>
      <c:scatterChart>
        <c:scatterStyle val="lineMarker"/>
        <c:varyColors val="0"/>
        <c:ser>
          <c:idx val="1"/>
          <c:order val="1"/>
          <c:tx>
            <c:strRef>
              <c:f>"CoStar National Occupancy (right)"</c:f>
              <c:strCache>
                <c:ptCount val="1"/>
                <c:pt idx="0">
                  <c:v>CoStar National Occupancy (right)</c:v>
                </c:pt>
              </c:strCache>
            </c:strRef>
          </c:tx>
          <c:spPr>
            <a:solidFill>
              <a:srgbClr val="8a8a8a"/>
            </a:solidFill>
            <a:ln w="28440">
              <a:solidFill>
                <a:srgbClr val="8a8a8a"/>
              </a:solidFill>
              <a:prstDash val="dash"/>
              <a:round/>
            </a:ln>
          </c:spPr>
          <c:marker>
            <c:symbol val="diamond"/>
            <c:size val="4"/>
            <c:spPr>
              <a:solidFill>
                <a:srgbClr val="8a8a8a"/>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0"/>
            <c:extLst>
              <c:ext xmlns:c15="http://schemas.microsoft.com/office/drawing/2012/chart" uri="{CE6537A1-D6FC-4f65-9D91-7224C49458BB}">
                <c15:showLeaderLines val="0"/>
              </c:ext>
            </c:extLst>
          </c:dLbls>
          <c:xVal>
            <c:numRef>
              <c:f>'BXP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'BXP vs Market'!$AB$4:$AB$13</c:f>
              <c:numCache>
                <c:formatCode>0.0%</c:formatCode>
                <c:ptCount val="10"/>
                <c:pt idx="0">
                  <c:v>0.90292644820865</c:v>
                </c:pt>
                <c:pt idx="1">
                  <c:v>0.904512025125065</c:v>
                </c:pt>
                <c:pt idx="2">
                  <c:v>0.906788544184796</c:v>
                </c:pt>
                <c:pt idx="3">
                  <c:v>0.90640074478559</c:v>
                </c:pt>
                <c:pt idx="4">
                  <c:v>0.892342836722361</c:v>
                </c:pt>
                <c:pt idx="5">
                  <c:v>0.881820255291229</c:v>
                </c:pt>
                <c:pt idx="6">
                  <c:v>0.876175318494471</c:v>
                </c:pt>
                <c:pt idx="7">
                  <c:v>0.865204674783267</c:v>
                </c:pt>
                <c:pt idx="8">
                  <c:v>0.860445979092512</c:v>
                </c:pt>
                <c:pt idx="9">
                  <c:v>0.859618577591907</c:v>
                </c:pt>
              </c:numCache>
            </c:numRef>
          </c:yVal>
          <c:smooth val="0"/>
        </c:ser>
        <c:axId val="44493878"/>
        <c:axId val="64422447"/>
      </c:scatterChart>
      <c:valAx>
        <c:axId val="49212574"/>
        <c:scaling>
          <c:orientation val="minMax"/>
        </c:scaling>
        <c:delete val="0"/>
        <c:axPos val="b"/>
        <c:numFmt formatCode="0" sourceLinked="0"/>
        <c:majorTickMark val="none"/>
        <c:minorTickMark val="none"/>
        <c:tickLblPos val="low"/>
        <c:spPr>
          <a:ln w="0">
            <a:solidFill>
              <a:srgbClr val="b3b3b3"/>
            </a:solidFill>
          </a:ln>
        </c:spPr>
        <c:txPr>
          <a:bodyPr/>
          <a:lstStyle/>
          <a:p>
            <a:pPr>
              <a:defRPr b="0" sz="1000" spc="-1" strike="noStrike">
                <a:solidFill>
                  <a:srgbClr val="000000"/>
                </a:solidFill>
                <a:latin typeface="Calibri"/>
              </a:defRPr>
            </a:pPr>
          </a:p>
        </c:txPr>
        <c:crossAx val="51676965"/>
        <c:crosses val="autoZero"/>
        <c:crossBetween val="midCat"/>
        <c:majorUnit val="1"/>
      </c:valAx>
      <c:valAx>
        <c:axId val="51676965"/>
        <c:scaling>
          <c:orientation val="minMax"/>
        </c:scaling>
        <c:delete val="0"/>
        <c:axPos val="l"/>
        <c:majorGridlines>
          <c:spPr>
            <a:ln w="0">
              <a:solidFill>
                <a:srgbClr val="b3b3b3"/>
              </a:solidFill>
            </a:ln>
          </c:spPr>
        </c:majorGridlines>
        <c:numFmt formatCode="\$0.00"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49212574"/>
        <c:crosses val="autoZero"/>
        <c:crossBetween val="midCat"/>
      </c:valAx>
      <c:valAx>
        <c:axId val="44493878"/>
        <c:scaling>
          <c:orientation val="minMax"/>
        </c:scaling>
        <c:delete val="1"/>
        <c:axPos val="t"/>
        <c:numFmt formatCode="General" sourceLinked="1"/>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64422447"/>
        <c:crossBetween val="midCat"/>
        <c:majorUnit val="1"/>
      </c:valAx>
      <c:valAx>
        <c:axId val="64422447"/>
        <c:scaling>
          <c:orientation val="minMax"/>
        </c:scaling>
        <c:delete val="0"/>
        <c:axPos val="r"/>
        <c:numFmt formatCode="0.0%"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44493878"/>
        <c:crosses val="max"/>
        <c:crossBetween val="midCat"/>
      </c:valAx>
      <c:spPr>
        <a:noFill/>
        <a:ln w="0">
          <a:noFill/>
        </a:ln>
      </c:spPr>
    </c:plotArea>
    <c:legend>
      <c:legendPos val="b"/>
      <c:overlay val="0"/>
      <c:spPr>
        <a:noFill/>
        <a:ln w="0">
          <a:noFill/>
        </a:ln>
      </c:spPr>
      <c:txPr>
        <a:bodyPr/>
        <a:lstStyle/>
        <a:p>
          <a:pPr>
            <a:defRPr b="0" sz="1000" spc="-1" strike="noStrike">
              <a:solidFill>
                <a:srgbClr val="000000"/>
              </a:solidFill>
              <a:latin typeface="Calibri"/>
            </a:defRPr>
          </a:pPr>
        </a:p>
      </c:txPr>
    </c:legend>
    <c:plotVisOnly val="1"/>
    <c:dispBlanksAs val="gap"/>
  </c:chart>
  <c:spPr>
    <a:solidFill>
      <a:srgbClr val="ffffff"/>
    </a:solidFill>
    <a:ln w="9360">
      <a:solidFill>
        <a:srgbClr val="d9d9d9"/>
      </a:solidFill>
      <a:round/>
    </a:ln>
  </c:spPr>
</c:chartSpace>
</file>

<file path=xl/charts/chart11.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lang="en-US" sz="1200" spc="-1" strike="noStrike">
                <a:solidFill>
                  <a:srgbClr val="000000"/>
                </a:solidFill>
                <a:latin typeface="Calibri"/>
              </a:defRPr>
            </a:pPr>
            <a:r>
              <a:rPr b="1" lang="en-US" sz="1200" spc="-1" strike="noStrike">
                <a:solidFill>
                  <a:srgbClr val="000000"/>
                </a:solidFill>
                <a:latin typeface="Calibri"/>
              </a:rPr>
              <a:t>Asking Rent and Market-RevPAF (Indexed, 2016 = 100) and Vacancy (2016-2025)</a:t>
            </a:r>
          </a:p>
        </c:rich>
      </c:tx>
      <c:overlay val="0"/>
      <c:spPr>
        <a:noFill/>
        <a:ln w="0">
          <a:noFill/>
        </a:ln>
      </c:spPr>
    </c:title>
    <c:autoTitleDeleted val="0"/>
    <c:plotArea>
      <c:layout>
        <c:manualLayout>
          <c:layoutTarget val="inner"/>
          <c:xMode val="edge"/>
          <c:yMode val="edge"/>
          <c:x val="0.100072876639724"/>
          <c:y val="0.160271228232393"/>
          <c:w val="0.799092354577978"/>
          <c:h val="0.619355832948066"/>
        </c:manualLayout>
      </c:layout>
      <c:scatterChart>
        <c:scatterStyle val="lineMarker"/>
        <c:varyColors val="0"/>
        <c:ser>
          <c:idx val="0"/>
          <c:order val="0"/>
          <c:tx>
            <c:strRef>
              <c:f>"CoStar Market Asking Rent (2016 = 100)"</c:f>
              <c:strCache>
                <c:ptCount val="1"/>
                <c:pt idx="0">
                  <c:v>CoStar Market Asking Rent (2016 = 100)</c:v>
                </c:pt>
              </c:strCache>
            </c:strRef>
          </c:tx>
          <c:spPr>
            <a:solidFill>
              <a:srgbClr val="1f3b57"/>
            </a:solidFill>
            <a:ln w="28440">
              <a:solidFill>
                <a:srgbClr val="1f3b57"/>
              </a:solidFill>
              <a:round/>
            </a:ln>
          </c:spPr>
          <c:marker>
            <c:symbol val="circle"/>
            <c:size val="5"/>
            <c:spPr>
              <a:solidFill>
                <a:srgbClr val="1f3b57"/>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xVal>
            <c:numRef>
              <c:f>'BXP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'BXP vs Market'!$X$4:$X$13</c:f>
              <c:numCache>
                <c:formatCode>#,##0</c:formatCode>
                <c:ptCount val="10"/>
                <c:pt idx="0">
                  <c:v>100</c:v>
                </c:pt>
                <c:pt idx="1">
                  <c:v>102.38303537313</c:v>
                </c:pt>
                <c:pt idx="2">
                  <c:v>105.483994409511</c:v>
                </c:pt>
                <c:pt idx="3">
                  <c:v>109.226783887186</c:v>
                </c:pt>
                <c:pt idx="4">
                  <c:v>107.527924825205</c:v>
                </c:pt>
                <c:pt idx="5">
                  <c:v>108.483307217894</c:v>
                </c:pt>
                <c:pt idx="6">
                  <c:v>110.5199236759</c:v>
                </c:pt>
                <c:pt idx="7">
                  <c:v>111.663849225915</c:v>
                </c:pt>
                <c:pt idx="8">
                  <c:v>113.852312861286</c:v>
                </c:pt>
                <c:pt idx="9">
                  <c:v>116.20527763663</c:v>
                </c:pt>
              </c:numCache>
            </c:numRef>
          </c:yVal>
          <c:smooth val="0"/>
        </c:ser>
        <c:ser>
          <c:idx val="1"/>
          <c:order val="1"/>
          <c:tx>
            <c:strRef>
              <c:f>"Green Street Market-RevPAF (2016 = 100)"</c:f>
              <c:strCache>
                <c:ptCount val="1"/>
                <c:pt idx="0">
                  <c:v>Green Street Market-RevPAF (2016 = 100)</c:v>
                </c:pt>
              </c:strCache>
            </c:strRef>
          </c:tx>
          <c:spPr>
            <a:solidFill>
              <a:srgbClr val="a31f34"/>
            </a:solidFill>
            <a:ln w="28440">
              <a:solidFill>
                <a:srgbClr val="a31f34"/>
              </a:solidFill>
              <a:round/>
            </a:ln>
          </c:spPr>
          <c:marker>
            <c:symbol val="square"/>
            <c:size val="5"/>
            <c:spPr>
              <a:solidFill>
                <a:srgbClr val="a31f34"/>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xVal>
            <c:numRef>
              <c:f>'BXP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'BXP vs Market'!$AC$4:$AC$13</c:f>
              <c:numCache>
                <c:formatCode>#,##0</c:formatCode>
                <c:ptCount val="10"/>
                <c:pt idx="0">
                  <c:v>100</c:v>
                </c:pt>
                <c:pt idx="1">
                  <c:v>100.975579</c:v>
                </c:pt>
                <c:pt idx="2">
                  <c:v>103.226424621733</c:v>
                </c:pt>
                <c:pt idx="3">
                  <c:v>106.89745976697</c:v>
                </c:pt>
                <c:pt idx="4">
                  <c:v>98.4649530678906</c:v>
                </c:pt>
                <c:pt idx="5">
                  <c:v>93.1790698234918</c:v>
                </c:pt>
                <c:pt idx="6">
                  <c:v>89.7142499062681</c:v>
                </c:pt>
                <c:pt idx="7">
                  <c:v>84.973646666976</c:v>
                </c:pt>
                <c:pt idx="8">
                  <c:v>83.3969988912113</c:v>
                </c:pt>
                <c:pt idx="9">
                  <c:v>83.4585992504723</c:v>
                </c:pt>
              </c:numCache>
            </c:numRef>
          </c:yVal>
          <c:smooth val="0"/>
        </c:ser>
        <c:axId val="63833226"/>
        <c:axId val="68369297"/>
      </c:scatterChart>
      <c:scatterChart>
        <c:scatterStyle val="lineMarker"/>
        <c:varyColors val="0"/>
        <c:ser>
          <c:idx val="2"/>
          <c:order val="2"/>
          <c:tx>
            <c:strRef>
              <c:f>"CoStar National Vacancy (%)"</c:f>
              <c:strCache>
                <c:ptCount val="1"/>
                <c:pt idx="0">
                  <c:v>CoStar National Vacancy (%)</c:v>
                </c:pt>
              </c:strCache>
            </c:strRef>
          </c:tx>
          <c:spPr>
            <a:solidFill>
              <a:srgbClr val="8a8a8a"/>
            </a:solidFill>
            <a:ln w="28440">
              <a:solidFill>
                <a:srgbClr val="8a8a8a"/>
              </a:solidFill>
              <a:prstDash val="dash"/>
              <a:round/>
            </a:ln>
          </c:spPr>
          <c:marker>
            <c:symbol val="diamond"/>
            <c:size val="4"/>
            <c:spPr>
              <a:solidFill>
                <a:srgbClr val="8a8a8a"/>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xVal>
            <c:numRef>
              <c:f>'BXP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'BXP vs Market'!$G$4:$G$13</c:f>
              <c:numCache>
                <c:formatCode>0.00%</c:formatCode>
                <c:ptCount val="10"/>
                <c:pt idx="0">
                  <c:v>0.0970735517913501</c:v>
                </c:pt>
                <c:pt idx="1">
                  <c:v>0.0954879748749349</c:v>
                </c:pt>
                <c:pt idx="2">
                  <c:v>0.0932114558152037</c:v>
                </c:pt>
                <c:pt idx="3">
                  <c:v>0.0935992552144097</c:v>
                </c:pt>
                <c:pt idx="4">
                  <c:v>0.107657163277639</c:v>
                </c:pt>
                <c:pt idx="5">
                  <c:v>0.118179744708771</c:v>
                </c:pt>
                <c:pt idx="6">
                  <c:v>0.123824681505529</c:v>
                </c:pt>
                <c:pt idx="7">
                  <c:v>0.134795325216733</c:v>
                </c:pt>
                <c:pt idx="8">
                  <c:v>0.139554020907488</c:v>
                </c:pt>
                <c:pt idx="9">
                  <c:v>0.140381422408093</c:v>
                </c:pt>
              </c:numCache>
            </c:numRef>
          </c:yVal>
          <c:smooth val="0"/>
        </c:ser>
        <c:axId val="64970978"/>
        <c:axId val="23175985"/>
      </c:scatterChart>
      <c:valAx>
        <c:axId val="63833226"/>
        <c:scaling>
          <c:orientation val="minMax"/>
        </c:scaling>
        <c:delete val="0"/>
        <c:axPos val="b"/>
        <c:numFmt formatCode="0" sourceLinked="0"/>
        <c:majorTickMark val="none"/>
        <c:minorTickMark val="none"/>
        <c:tickLblPos val="low"/>
        <c:spPr>
          <a:ln w="0">
            <a:solidFill>
              <a:srgbClr val="b3b3b3"/>
            </a:solidFill>
          </a:ln>
        </c:spPr>
        <c:txPr>
          <a:bodyPr/>
          <a:lstStyle/>
          <a:p>
            <a:pPr>
              <a:defRPr b="0" sz="1000" spc="-1" strike="noStrike">
                <a:solidFill>
                  <a:srgbClr val="000000"/>
                </a:solidFill>
                <a:latin typeface="Calibri"/>
              </a:defRPr>
            </a:pPr>
          </a:p>
        </c:txPr>
        <c:crossAx val="68369297"/>
        <c:crosses val="autoZero"/>
        <c:crossBetween val="midCat"/>
        <c:majorUnit val="1"/>
      </c:valAx>
      <c:valAx>
        <c:axId val="68369297"/>
        <c:scaling>
          <c:orientation val="minMax"/>
        </c:scaling>
        <c:delete val="0"/>
        <c:axPos val="l"/>
        <c:majorGridlines>
          <c:spPr>
            <a:ln w="0">
              <a:solidFill>
                <a:srgbClr val="b3b3b3"/>
              </a:solidFill>
            </a:ln>
          </c:spPr>
        </c:majorGridlines>
        <c:numFmt formatCode="0"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63833226"/>
        <c:crosses val="autoZero"/>
        <c:crossBetween val="midCat"/>
      </c:valAx>
      <c:valAx>
        <c:axId val="64970978"/>
        <c:scaling>
          <c:orientation val="minMax"/>
        </c:scaling>
        <c:delete val="1"/>
        <c:axPos val="t"/>
        <c:numFmt formatCode="General" sourceLinked="1"/>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23175985"/>
        <c:crossBetween val="midCat"/>
        <c:majorUnit val="1"/>
      </c:valAx>
      <c:valAx>
        <c:axId val="23175985"/>
        <c:scaling>
          <c:orientation val="minMax"/>
        </c:scaling>
        <c:delete val="0"/>
        <c:axPos val="r"/>
        <c:numFmt formatCode="0.0%"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64970978"/>
        <c:crosses val="max"/>
        <c:crossBetween val="midCat"/>
      </c:valAx>
      <c:spPr>
        <a:noFill/>
        <a:ln w="0">
          <a:noFill/>
        </a:ln>
      </c:spPr>
    </c:plotArea>
    <c:legend>
      <c:legendPos val="b"/>
      <c:overlay val="0"/>
      <c:spPr>
        <a:noFill/>
        <a:ln w="0">
          <a:noFill/>
        </a:ln>
      </c:spPr>
      <c:txPr>
        <a:bodyPr/>
        <a:lstStyle/>
        <a:p>
          <a:pPr>
            <a:defRPr b="0" sz="1000" spc="-1" strike="noStrike">
              <a:solidFill>
                <a:srgbClr val="000000"/>
              </a:solidFill>
              <a:latin typeface="Calibri"/>
            </a:defRPr>
          </a:pPr>
        </a:p>
      </c:txPr>
    </c:legend>
    <c:plotVisOnly val="1"/>
    <c:dispBlanksAs val="gap"/>
  </c:chart>
  <c:spPr>
    <a:solidFill>
      <a:srgbClr val="ffffff"/>
    </a:solidFill>
    <a:ln w="9360">
      <a:solidFill>
        <a:srgbClr val="d9d9d9"/>
      </a:solidFill>
      <a:round/>
    </a:ln>
  </c:spPr>
</c:chartSpace>
</file>

<file path=xl/charts/chart12.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lang="en-US" sz="1200" spc="-1" strike="noStrike">
                <a:solidFill>
                  <a:srgbClr val="000000"/>
                </a:solidFill>
                <a:latin typeface="Calibri"/>
              </a:defRPr>
            </a:pPr>
            <a:r>
              <a:rPr b="1" lang="en-US" sz="1200" spc="-1" strike="noStrike">
                <a:solidFill>
                  <a:srgbClr val="000000"/>
                </a:solidFill>
                <a:latin typeface="Calibri"/>
              </a:rPr>
              <a:t>Supply Reduction and Forecast Revenue Recovery (2016-2030): Market-RevPAF Growth
Green Street, 51-market weighted average; dashed segment is the Green Street forecast (2026-2030).</a:t>
            </a:r>
          </a:p>
        </c:rich>
      </c:tx>
      <c:overlay val="0"/>
      <c:spPr>
        <a:noFill/>
        <a:ln w="0">
          <a:noFill/>
        </a:ln>
      </c:spPr>
    </c:title>
    <c:autoTitleDeleted val="0"/>
    <c:plotArea>
      <c:layout>
        <c:manualLayout>
          <c:layoutTarget val="inner"/>
          <c:xMode val="edge"/>
          <c:yMode val="edge"/>
          <c:x val="0.100072876639724"/>
          <c:y val="0.160271228232393"/>
          <c:w val="0.799092354577978"/>
          <c:h val="0.619355832948066"/>
        </c:manualLayout>
      </c:layout>
      <c:scatterChart>
        <c:scatterStyle val="lineMarker"/>
        <c:varyColors val="0"/>
        <c:ser>
          <c:idx val="0"/>
          <c:order val="0"/>
          <c:tx>
            <c:strRef>
              <c:f>"Market-RevPAF Growth, actual"</c:f>
              <c:strCache>
                <c:ptCount val="1"/>
                <c:pt idx="0">
                  <c:v>Market-RevPAF Growth, actual</c:v>
                </c:pt>
              </c:strCache>
            </c:strRef>
          </c:tx>
          <c:spPr>
            <a:solidFill>
              <a:srgbClr val="a31f34"/>
            </a:solidFill>
            <a:ln w="28440">
              <a:solidFill>
                <a:srgbClr val="a31f34"/>
              </a:solidFill>
              <a:round/>
            </a:ln>
          </c:spPr>
          <c:marker>
            <c:symbol val="circle"/>
            <c:size val="5"/>
            <c:spPr>
              <a:solidFill>
                <a:srgbClr val="a31f34"/>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0"/>
            <c:extLst>
              <c:ext xmlns:c15="http://schemas.microsoft.com/office/drawing/2012/chart" uri="{CE6537A1-D6FC-4f65-9D91-7224C49458BB}">
                <c15:showLeaderLines val="0"/>
              </c:ext>
            </c:extLst>
          </c:dLbls>
          <c:xVal>
            <c:numRef>
              <c:f>'Green Street National'!$A$4:$A$13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'Green Street National'!$C$4:$C$13</c:f>
              <c:numCache>
                <c:formatCode>0.00%</c:formatCode>
                <c:ptCount val="10"/>
                <c:pt idx="0">
                  <c:v>0.01895593</c:v>
                </c:pt>
                <c:pt idx="1">
                  <c:v>0.00975579</c:v>
                </c:pt>
                <c:pt idx="2">
                  <c:v>0.02229099</c:v>
                </c:pt>
                <c:pt idx="3">
                  <c:v>0.03556294</c:v>
                </c:pt>
                <c:pt idx="4">
                  <c:v>-0.07888407</c:v>
                </c:pt>
                <c:pt idx="5">
                  <c:v>-0.05368289</c:v>
                </c:pt>
                <c:pt idx="6">
                  <c:v>-0.03718453</c:v>
                </c:pt>
                <c:pt idx="7">
                  <c:v>-0.05284114</c:v>
                </c:pt>
                <c:pt idx="8">
                  <c:v>-0.01855455</c:v>
                </c:pt>
                <c:pt idx="9">
                  <c:v>0.00073864</c:v>
                </c:pt>
              </c:numCache>
            </c:numRef>
          </c:yVal>
          <c:smooth val="0"/>
        </c:ser>
        <c:ser>
          <c:idx val="1"/>
          <c:order val="1"/>
          <c:tx>
            <c:strRef>
              <c:f>"Market-RevPAF Growth, Green Street forecast"</c:f>
              <c:strCache>
                <c:ptCount val="1"/>
                <c:pt idx="0">
                  <c:v>Market-RevPAF Growth, Green Street forecast</c:v>
                </c:pt>
              </c:strCache>
            </c:strRef>
          </c:tx>
          <c:spPr>
            <a:solidFill>
              <a:srgbClr val="a31f34"/>
            </a:solidFill>
            <a:ln w="28440">
              <a:solidFill>
                <a:srgbClr val="a31f34"/>
              </a:solidFill>
              <a:prstDash val="dash"/>
              <a:round/>
            </a:ln>
          </c:spPr>
          <c:marker>
            <c:symbol val="circle"/>
            <c:size val="5"/>
            <c:spPr>
              <a:solidFill>
                <a:srgbClr val="a31f34"/>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0"/>
            <c:extLst>
              <c:ext xmlns:c15="http://schemas.microsoft.com/office/drawing/2012/chart" uri="{CE6537A1-D6FC-4f65-9D91-7224C49458BB}">
                <c15:showLeaderLines val="0"/>
              </c:ext>
            </c:extLst>
          </c:dLbls>
          <c:xVal>
            <c:numRef>
              <c:f>'Green Street National'!$A$13:$A$18</c:f>
              <c:numCache>
                <c:formatCode>General</c:formatCode>
                <c:ptCount val="6"/>
                <c:pt idx="0">
                  <c:v>2025</c:v>
                </c:pt>
                <c:pt idx="1">
                  <c:v>2026</c:v>
                </c:pt>
                <c:pt idx="2">
                  <c:v>2027</c:v>
                </c:pt>
                <c:pt idx="3">
                  <c:v>2028</c:v>
                </c:pt>
                <c:pt idx="4">
                  <c:v>2029</c:v>
                </c:pt>
                <c:pt idx="5">
                  <c:v>2030</c:v>
                </c:pt>
              </c:numCache>
            </c:numRef>
          </c:xVal>
          <c:yVal>
            <c:numRef>
              <c:f>'Green Street National'!$C$13:$C$18</c:f>
              <c:numCache>
                <c:formatCode>0.00%</c:formatCode>
                <c:ptCount val="6"/>
                <c:pt idx="0">
                  <c:v>0.00073864</c:v>
                </c:pt>
                <c:pt idx="1">
                  <c:v>0.02641028</c:v>
                </c:pt>
                <c:pt idx="2">
                  <c:v>0.03173914</c:v>
                </c:pt>
                <c:pt idx="3">
                  <c:v>0.02121428</c:v>
                </c:pt>
                <c:pt idx="4">
                  <c:v>0.02121284</c:v>
                </c:pt>
                <c:pt idx="5">
                  <c:v>0.02121141</c:v>
                </c:pt>
              </c:numCache>
            </c:numRef>
          </c:yVal>
          <c:smooth val="0"/>
        </c:ser>
        <c:axId val="72931173"/>
        <c:axId val="78994403"/>
      </c:scatterChart>
      <c:valAx>
        <c:axId val="72931173"/>
        <c:scaling>
          <c:orientation val="minMax"/>
        </c:scaling>
        <c:delete val="0"/>
        <c:axPos val="b"/>
        <c:numFmt formatCode="0" sourceLinked="0"/>
        <c:majorTickMark val="none"/>
        <c:minorTickMark val="none"/>
        <c:tickLblPos val="low"/>
        <c:spPr>
          <a:ln w="0">
            <a:solidFill>
              <a:srgbClr val="b3b3b3"/>
            </a:solidFill>
          </a:ln>
        </c:spPr>
        <c:txPr>
          <a:bodyPr/>
          <a:lstStyle/>
          <a:p>
            <a:pPr>
              <a:defRPr b="0" sz="1000" spc="-1" strike="noStrike">
                <a:solidFill>
                  <a:srgbClr val="000000"/>
                </a:solidFill>
                <a:latin typeface="Calibri"/>
              </a:defRPr>
            </a:pPr>
          </a:p>
        </c:txPr>
        <c:crossAx val="78994403"/>
        <c:crosses val="autoZero"/>
        <c:crossBetween val="midCat"/>
        <c:majorUnit val="1"/>
      </c:valAx>
      <c:valAx>
        <c:axId val="78994403"/>
        <c:scaling>
          <c:orientation val="minMax"/>
        </c:scaling>
        <c:delete val="0"/>
        <c:axPos val="l"/>
        <c:majorGridlines>
          <c:spPr>
            <a:ln w="0">
              <a:solidFill>
                <a:srgbClr val="b3b3b3"/>
              </a:solidFill>
            </a:ln>
          </c:spPr>
        </c:majorGridlines>
        <c:numFmt formatCode="0%"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72931173"/>
        <c:crosses val="autoZero"/>
        <c:crossBetween val="midCat"/>
      </c:valAx>
      <c:spPr>
        <a:noFill/>
        <a:ln w="0">
          <a:noFill/>
        </a:ln>
      </c:spPr>
    </c:plotArea>
    <c:legend>
      <c:legendPos val="b"/>
      <c:overlay val="0"/>
      <c:spPr>
        <a:noFill/>
        <a:ln w="0">
          <a:noFill/>
        </a:ln>
      </c:spPr>
      <c:txPr>
        <a:bodyPr/>
        <a:lstStyle/>
        <a:p>
          <a:pPr>
            <a:defRPr b="0" sz="1000" spc="-1" strike="noStrike">
              <a:solidFill>
                <a:srgbClr val="000000"/>
              </a:solidFill>
              <a:latin typeface="Calibri"/>
            </a:defRPr>
          </a:pPr>
        </a:p>
      </c:txPr>
    </c:legend>
    <c:plotVisOnly val="1"/>
    <c:dispBlanksAs val="gap"/>
  </c:chart>
  <c:spPr>
    <a:solidFill>
      <a:srgbClr val="ffffff"/>
    </a:solidFill>
    <a:ln w="9360">
      <a:solidFill>
        <a:srgbClr val="d9d9d9"/>
      </a:solidFill>
      <a:round/>
    </a:ln>
  </c:spPr>
</c:chartSpace>
</file>

<file path=xl/charts/chart13.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lang="en-US" sz="1200" spc="-1" strike="noStrike">
                <a:solidFill>
                  <a:srgbClr val="000000"/>
                </a:solidFill>
                <a:latin typeface="Calibri"/>
              </a:defRPr>
            </a:pPr>
            <a:r>
              <a:rPr b="1" lang="en-US" sz="1200" spc="-1" strike="noStrike">
                <a:solidFill>
                  <a:srgbClr val="000000"/>
                </a:solidFill>
                <a:latin typeface="Calibri"/>
              </a:rPr>
              <a:t>Supply Reduction and Forecast Revenue Recovery (2016-2030): Supply Growth (% of Stock)
Green Street, 51-market weighted average; lighter bars are the Green Street forecast (2026-2030).</a:t>
            </a:r>
          </a:p>
        </c:rich>
      </c:tx>
      <c:overlay val="0"/>
      <c:spPr>
        <a:noFill/>
        <a:ln w="0">
          <a:noFill/>
        </a:ln>
      </c:spPr>
    </c:title>
    <c:autoTitleDeleted val="0"/>
    <c:plotArea>
      <c:layout>
        <c:manualLayout>
          <c:layoutTarget val="inner"/>
          <c:xMode val="edge"/>
          <c:yMode val="edge"/>
          <c:x val="0.100072876639724"/>
          <c:y val="0.160271228232393"/>
          <c:w val="0.799092354577978"/>
          <c:h val="0.619355832948066"/>
        </c:manualLayout>
      </c:layout>
      <c:barChart>
        <c:barDir val="col"/>
        <c:grouping val="stacked"/>
        <c:varyColors val="0"/>
        <c:ser>
          <c:idx val="0"/>
          <c:order val="0"/>
          <c:tx>
            <c:strRef>
              <c:f>"Supply Growth, actual"</c:f>
              <c:strCache>
                <c:ptCount val="1"/>
                <c:pt idx="0">
                  <c:v>Supply Growth, actual</c:v>
                </c:pt>
              </c:strCache>
            </c:strRef>
          </c:tx>
          <c:spPr>
            <a:solidFill>
              <a:srgbClr val="1f3b57"/>
            </a:solidFill>
            <a:ln w="0">
              <a:noFill/>
            </a:ln>
          </c:spPr>
          <c:invertIfNegative val="0"/>
          <c:dLbls>
            <c:txPr>
              <a:bodyPr wrap="square"/>
              <a:lstStyle/>
              <a:p>
                <a:pPr>
                  <a:defRPr b="0" sz="1000" spc="-1" strike="noStrike">
                    <a:solidFill>
                      <a:srgbClr val="000000"/>
                    </a:solidFill>
                    <a:latin typeface="Calibri"/>
                  </a:defRPr>
                </a:pPr>
              </a:p>
            </c:txPr>
            <c:dLblPos val="ctr"/>
            <c:showLegendKey val="0"/>
            <c:showVal val="0"/>
            <c:showCatName val="0"/>
            <c:showSerName val="0"/>
            <c:showPercent val="0"/>
            <c:separator>; </c:separator>
            <c:showLeaderLines val="0"/>
            <c:extLst>
              <c:ext xmlns:c15="http://schemas.microsoft.com/office/drawing/2012/chart" uri="{CE6537A1-D6FC-4f65-9D91-7224C49458BB}">
                <c15:showLeaderLines val="0"/>
              </c:ext>
            </c:extLst>
          </c:dLbls>
          <c:cat>
            <c:strRef>
              <c:f>'Green Street National'!$A$4:$A$18</c:f>
              <c:strCache>
                <c:ptCount val="15"/>
                <c:pt idx="0">
                  <c:v>2016</c:v>
                </c:pt>
                <c:pt idx="1">
                  <c:v>2017</c:v>
                </c:pt>
                <c:pt idx="2">
                  <c:v>2018</c:v>
                </c:pt>
                <c:pt idx="3">
                  <c:v>2019</c:v>
                </c:pt>
                <c:pt idx="4">
                  <c:v>2020</c:v>
                </c:pt>
                <c:pt idx="5">
                  <c:v>2021</c:v>
                </c:pt>
                <c:pt idx="6">
                  <c:v>2022</c:v>
                </c:pt>
                <c:pt idx="7">
                  <c:v>2023</c:v>
                </c:pt>
                <c:pt idx="8">
                  <c:v>2024</c:v>
                </c:pt>
                <c:pt idx="9">
                  <c:v>2025</c:v>
                </c:pt>
                <c:pt idx="10">
                  <c:v>2026</c:v>
                </c:pt>
                <c:pt idx="11">
                  <c:v>2027</c:v>
                </c:pt>
                <c:pt idx="12">
                  <c:v>2028</c:v>
                </c:pt>
                <c:pt idx="13">
                  <c:v>2029</c:v>
                </c:pt>
                <c:pt idx="14">
                  <c:v>2030</c:v>
                </c:pt>
              </c:strCache>
            </c:strRef>
          </c:cat>
          <c:val>
            <c:numRef>
              <c:f>'Green Street National'!$H$4:$H$18</c:f>
              <c:numCache>
                <c:formatCode>0.00%</c:formatCode>
                <c:ptCount val="15"/>
                <c:pt idx="0">
                  <c:v>0.01185798</c:v>
                </c:pt>
                <c:pt idx="1">
                  <c:v>0.0145198</c:v>
                </c:pt>
                <c:pt idx="2">
                  <c:v>0.01405258</c:v>
                </c:pt>
                <c:pt idx="3">
                  <c:v>0.01295095</c:v>
                </c:pt>
                <c:pt idx="4">
                  <c:v>0.01580595</c:v>
                </c:pt>
                <c:pt idx="5">
                  <c:v>0.01304371</c:v>
                </c:pt>
                <c:pt idx="6">
                  <c:v>0.00965422</c:v>
                </c:pt>
                <c:pt idx="7">
                  <c:v>0.00850896</c:v>
                </c:pt>
                <c:pt idx="8">
                  <c:v>0.00796357</c:v>
                </c:pt>
                <c:pt idx="9">
                  <c:v>0.004443</c:v>
                </c:pt>
              </c:numCache>
            </c:numRef>
          </c:val>
        </c:ser>
        <c:ser>
          <c:idx val="1"/>
          <c:order val="1"/>
          <c:tx>
            <c:strRef>
              <c:f>"Supply Growth, Green Street forecast"</c:f>
              <c:strCache>
                <c:ptCount val="1"/>
                <c:pt idx="0">
                  <c:v>Supply Growth, Green Street forecast</c:v>
                </c:pt>
              </c:strCache>
            </c:strRef>
          </c:tx>
          <c:spPr>
            <a:solidFill>
              <a:srgbClr val="a9bcd1"/>
            </a:solidFill>
            <a:ln w="0">
              <a:noFill/>
            </a:ln>
          </c:spPr>
          <c:invertIfNegative val="0"/>
          <c:dLbls>
            <c:txPr>
              <a:bodyPr wrap="square"/>
              <a:lstStyle/>
              <a:p>
                <a:pPr>
                  <a:defRPr b="0" sz="1000" spc="-1" strike="noStrike">
                    <a:solidFill>
                      <a:srgbClr val="000000"/>
                    </a:solidFill>
                    <a:latin typeface="Calibri"/>
                  </a:defRPr>
                </a:pPr>
              </a:p>
            </c:txPr>
            <c:dLblPos val="ctr"/>
            <c:showLegendKey val="0"/>
            <c:showVal val="0"/>
            <c:showCatName val="0"/>
            <c:showSerName val="0"/>
            <c:showPercent val="0"/>
            <c:separator>; </c:separator>
            <c:showLeaderLines val="0"/>
            <c:extLst>
              <c:ext xmlns:c15="http://schemas.microsoft.com/office/drawing/2012/chart" uri="{CE6537A1-D6FC-4f65-9D91-7224C49458BB}">
                <c15:showLeaderLines val="0"/>
              </c:ext>
            </c:extLst>
          </c:dLbls>
          <c:cat>
            <c:strRef>
              <c:f>'Green Street National'!$A$4:$A$18</c:f>
              <c:strCache>
                <c:ptCount val="15"/>
                <c:pt idx="0">
                  <c:v>2016</c:v>
                </c:pt>
                <c:pt idx="1">
                  <c:v>2017</c:v>
                </c:pt>
                <c:pt idx="2">
                  <c:v>2018</c:v>
                </c:pt>
                <c:pt idx="3">
                  <c:v>2019</c:v>
                </c:pt>
                <c:pt idx="4">
                  <c:v>2020</c:v>
                </c:pt>
                <c:pt idx="5">
                  <c:v>2021</c:v>
                </c:pt>
                <c:pt idx="6">
                  <c:v>2022</c:v>
                </c:pt>
                <c:pt idx="7">
                  <c:v>2023</c:v>
                </c:pt>
                <c:pt idx="8">
                  <c:v>2024</c:v>
                </c:pt>
                <c:pt idx="9">
                  <c:v>2025</c:v>
                </c:pt>
                <c:pt idx="10">
                  <c:v>2026</c:v>
                </c:pt>
                <c:pt idx="11">
                  <c:v>2027</c:v>
                </c:pt>
                <c:pt idx="12">
                  <c:v>2028</c:v>
                </c:pt>
                <c:pt idx="13">
                  <c:v>2029</c:v>
                </c:pt>
                <c:pt idx="14">
                  <c:v>2030</c:v>
                </c:pt>
              </c:strCache>
            </c:strRef>
          </c:cat>
          <c:val>
            <c:numRef>
              <c:f>'Green Street National'!$I$4:$I$18</c:f>
              <c:numCache>
                <c:formatCode>0.00%</c:formatCode>
                <c:ptCount val="15"/>
                <c:pt idx="10">
                  <c:v>0.00381869</c:v>
                </c:pt>
                <c:pt idx="11">
                  <c:v>0.00381869</c:v>
                </c:pt>
                <c:pt idx="12">
                  <c:v>0.00381869</c:v>
                </c:pt>
                <c:pt idx="13">
                  <c:v>0.00381869</c:v>
                </c:pt>
                <c:pt idx="14">
                  <c:v>0.00381869</c:v>
                </c:pt>
              </c:numCache>
            </c:numRef>
          </c:val>
        </c:ser>
        <c:gapWidth val="150"/>
        <c:overlap val="100"/>
        <c:axId val="20923134"/>
        <c:axId val="68069367"/>
      </c:barChart>
      <c:catAx>
        <c:axId val="20923134"/>
        <c:scaling>
          <c:orientation val="minMax"/>
        </c:scaling>
        <c:delete val="0"/>
        <c:axPos val="b"/>
        <c:numFmt formatCode="General" sourceLinked="0"/>
        <c:majorTickMark val="none"/>
        <c:minorTickMark val="none"/>
        <c:tickLblPos val="low"/>
        <c:spPr>
          <a:ln w="0">
            <a:solidFill>
              <a:srgbClr val="b3b3b3"/>
            </a:solidFill>
          </a:ln>
        </c:spPr>
        <c:txPr>
          <a:bodyPr/>
          <a:lstStyle/>
          <a:p>
            <a:pPr>
              <a:defRPr b="0" sz="1000" spc="-1" strike="noStrike">
                <a:solidFill>
                  <a:srgbClr val="000000"/>
                </a:solidFill>
                <a:latin typeface="Calibri"/>
              </a:defRPr>
            </a:pPr>
          </a:p>
        </c:txPr>
        <c:crossAx val="68069367"/>
        <c:crosses val="autoZero"/>
        <c:auto val="1"/>
        <c:lblAlgn val="ctr"/>
        <c:lblOffset val="100"/>
        <c:noMultiLvlLbl val="0"/>
      </c:catAx>
      <c:valAx>
        <c:axId val="68069367"/>
        <c:scaling>
          <c:orientation val="minMax"/>
        </c:scaling>
        <c:delete val="0"/>
        <c:axPos val="l"/>
        <c:majorGridlines>
          <c:spPr>
            <a:ln w="0">
              <a:solidFill>
                <a:srgbClr val="b3b3b3"/>
              </a:solidFill>
            </a:ln>
          </c:spPr>
        </c:majorGridlines>
        <c:numFmt formatCode="0.0%"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20923134"/>
        <c:crosses val="autoZero"/>
        <c:crossBetween val="between"/>
      </c:valAx>
      <c:spPr>
        <a:noFill/>
        <a:ln w="0">
          <a:noFill/>
        </a:ln>
      </c:spPr>
    </c:plotArea>
    <c:legend>
      <c:legendPos val="b"/>
      <c:overlay val="0"/>
      <c:spPr>
        <a:noFill/>
        <a:ln w="0">
          <a:noFill/>
        </a:ln>
      </c:spPr>
      <c:txPr>
        <a:bodyPr/>
        <a:lstStyle/>
        <a:p>
          <a:pPr>
            <a:defRPr b="0" sz="1000" spc="-1" strike="noStrike">
              <a:solidFill>
                <a:srgbClr val="000000"/>
              </a:solidFill>
              <a:latin typeface="Calibri"/>
            </a:defRPr>
          </a:pPr>
        </a:p>
      </c:txPr>
    </c:legend>
    <c:plotVisOnly val="1"/>
    <c:dispBlanksAs val="gap"/>
  </c:chart>
  <c:spPr>
    <a:solidFill>
      <a:srgbClr val="ffffff"/>
    </a:solidFill>
    <a:ln w="9360">
      <a:solidFill>
        <a:srgbClr val="d9d9d9"/>
      </a:solidFill>
      <a:round/>
    </a:ln>
  </c:spPr>
</c:chartSpace>
</file>

<file path=xl/charts/chart14.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lang="en-US" sz="1200" spc="-1" strike="noStrike">
                <a:solidFill>
                  <a:srgbClr val="000000"/>
                </a:solidFill>
                <a:latin typeface="Calibri"/>
              </a:defRPr>
            </a:pPr>
            <a:r>
              <a:rPr b="1" lang="en-US" sz="1200" spc="-1" strike="noStrike">
                <a:solidFill>
                  <a:srgbClr val="000000"/>
                </a:solidFill>
                <a:latin typeface="Calibri"/>
              </a:rPr>
              <a:t>Operating Fundamentals: CoStar Market Asking Rent ($/SF) (2016-2025)</a:t>
            </a:r>
          </a:p>
        </c:rich>
      </c:tx>
      <c:overlay val="0"/>
      <c:spPr>
        <a:noFill/>
        <a:ln w="0">
          <a:noFill/>
        </a:ln>
      </c:spPr>
    </c:title>
    <c:autoTitleDeleted val="0"/>
    <c:plotArea>
      <c:layout>
        <c:manualLayout>
          <c:layoutTarget val="inner"/>
          <c:xMode val="edge"/>
          <c:yMode val="edge"/>
          <c:x val="0.100106002385054"/>
          <c:y val="0.160271228232393"/>
          <c:w val="0.798959851596661"/>
          <c:h val="0.619355832948066"/>
        </c:manualLayout>
      </c:layout>
      <c:scatterChart>
        <c:scatterStyle val="lineMarker"/>
        <c:varyColors val="0"/>
        <c:ser>
          <c:idx val="0"/>
          <c:order val="0"/>
          <c:tx>
            <c:strRef>
              <c:f>"CoStar Market Asking Rent ($/SF)"</c:f>
              <c:strCache>
                <c:ptCount val="1"/>
                <c:pt idx="0">
                  <c:v>CoStar Market Asking Rent ($/SF)</c:v>
                </c:pt>
              </c:strCache>
            </c:strRef>
          </c:tx>
          <c:spPr>
            <a:solidFill>
              <a:srgbClr val="1f3b57"/>
            </a:solidFill>
            <a:ln w="28440">
              <a:solidFill>
                <a:srgbClr val="1f3b57"/>
              </a:solidFill>
              <a:round/>
            </a:ln>
          </c:spPr>
          <c:marker>
            <c:symbol val="circle"/>
            <c:size val="5"/>
            <c:spPr>
              <a:solidFill>
                <a:srgbClr val="1f3b57"/>
              </a:solidFill>
            </c:spPr>
          </c:marker>
          <c:dPt>
            <c:idx val="0"/>
            <c:marker>
              <c:symbol val="circle"/>
              <c:size val="5"/>
              <c:spPr>
                <a:solidFill>
                  <a:srgbClr val="1f3b57"/>
                </a:solidFill>
              </c:spPr>
            </c:marker>
          </c:dPt>
          <c:dPt>
            <c:idx val="1"/>
            <c:marker>
              <c:symbol val="circle"/>
              <c:size val="5"/>
              <c:spPr>
                <a:solidFill>
                  <a:srgbClr val="1f3b57"/>
                </a:solidFill>
              </c:spPr>
            </c:marker>
          </c:dPt>
          <c:dPt>
            <c:idx val="2"/>
            <c:marker>
              <c:symbol val="circle"/>
              <c:size val="5"/>
              <c:spPr>
                <a:solidFill>
                  <a:srgbClr val="1f3b57"/>
                </a:solidFill>
              </c:spPr>
            </c:marker>
          </c:dPt>
          <c:dPt>
            <c:idx val="3"/>
            <c:marker>
              <c:symbol val="circle"/>
              <c:size val="5"/>
              <c:spPr>
                <a:solidFill>
                  <a:srgbClr val="1f3b57"/>
                </a:solidFill>
              </c:spPr>
            </c:marker>
          </c:dPt>
          <c:dPt>
            <c:idx val="4"/>
            <c:marker>
              <c:symbol val="circle"/>
              <c:size val="5"/>
              <c:spPr>
                <a:solidFill>
                  <a:srgbClr val="1f3b57"/>
                </a:solidFill>
              </c:spPr>
            </c:marker>
          </c:dPt>
          <c:dPt>
            <c:idx val="5"/>
            <c:marker>
              <c:symbol val="circle"/>
              <c:size val="5"/>
              <c:spPr>
                <a:solidFill>
                  <a:srgbClr val="1f3b57"/>
                </a:solidFill>
              </c:spPr>
            </c:marker>
          </c:dPt>
          <c:dPt>
            <c:idx val="6"/>
            <c:marker>
              <c:symbol val="circle"/>
              <c:size val="5"/>
              <c:spPr>
                <a:solidFill>
                  <a:srgbClr val="1f3b57"/>
                </a:solidFill>
              </c:spPr>
            </c:marker>
          </c:dPt>
          <c:dPt>
            <c:idx val="7"/>
            <c:marker>
              <c:symbol val="circle"/>
              <c:size val="5"/>
              <c:spPr>
                <a:solidFill>
                  <a:srgbClr val="1f3b57"/>
                </a:solidFill>
              </c:spPr>
            </c:marker>
          </c:dPt>
          <c:dPt>
            <c:idx val="8"/>
            <c:marker>
              <c:symbol val="circle"/>
              <c:size val="5"/>
              <c:spPr>
                <a:solidFill>
                  <a:srgbClr val="1f3b57"/>
                </a:solidFill>
              </c:spPr>
            </c:marker>
          </c:dPt>
          <c:dPt>
            <c:idx val="9"/>
            <c:marker>
              <c:symbol val="circle"/>
              <c:size val="5"/>
              <c:spPr>
                <a:solidFill>
                  <a:srgbClr val="1f3b57"/>
                </a:solidFill>
              </c:spPr>
            </c:marker>
          </c:dPt>
          <c:dLbls>
            <c:dLbl>
              <c:idx val="0"/>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1"/>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2"/>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3"/>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4"/>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5"/>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6"/>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7"/>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8"/>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9"/>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0"/>
            <c:extLst>
              <c:ext xmlns:c15="http://schemas.microsoft.com/office/drawing/2012/chart" uri="{CE6537A1-D6FC-4f65-9D91-7224C49458BB}">
                <c15:showLeaderLines val="0"/>
              </c:ext>
            </c:extLst>
          </c:dLbls>
          <c:xVal>
            <c:numRef>
              <c:f>'CUZ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'CUZ vs Market'!$AA$4:$AA$13</c:f>
              <c:numCache>
                <c:formatCode>#,##0</c:formatCode>
                <c:ptCount val="10"/>
                <c:pt idx="0">
                  <c:v>31.6313190637154</c:v>
                </c:pt>
                <c:pt idx="1">
                  <c:v>32.3851045859914</c:v>
                </c:pt>
                <c:pt idx="2">
                  <c:v>33.365978832824</c:v>
                </c:pt>
                <c:pt idx="3">
                  <c:v>34.5498725143906</c:v>
                </c:pt>
                <c:pt idx="4">
                  <c:v>34.0125009840526</c:v>
                </c:pt>
                <c:pt idx="5">
                  <c:v>34.3147010369627</c:v>
                </c:pt>
                <c:pt idx="6">
                  <c:v>34.9589096868985</c:v>
                </c:pt>
                <c:pt idx="7">
                  <c:v>35.3207484274751</c:v>
                </c:pt>
                <c:pt idx="8">
                  <c:v>36.0129883425729</c:v>
                </c:pt>
                <c:pt idx="9">
                  <c:v>36.7572621381188</c:v>
                </c:pt>
              </c:numCache>
            </c:numRef>
          </c:yVal>
          <c:smooth val="0"/>
        </c:ser>
        <c:axId val="97064975"/>
        <c:axId val="51522900"/>
      </c:scatterChart>
      <c:valAx>
        <c:axId val="97064975"/>
        <c:scaling>
          <c:orientation val="minMax"/>
        </c:scaling>
        <c:delete val="0"/>
        <c:axPos val="b"/>
        <c:numFmt formatCode="0" sourceLinked="0"/>
        <c:majorTickMark val="none"/>
        <c:minorTickMark val="none"/>
        <c:tickLblPos val="low"/>
        <c:spPr>
          <a:ln w="0">
            <a:solidFill>
              <a:srgbClr val="b3b3b3"/>
            </a:solidFill>
          </a:ln>
        </c:spPr>
        <c:txPr>
          <a:bodyPr/>
          <a:lstStyle/>
          <a:p>
            <a:pPr>
              <a:defRPr b="0" sz="1000" spc="-1" strike="noStrike">
                <a:solidFill>
                  <a:srgbClr val="000000"/>
                </a:solidFill>
                <a:latin typeface="Calibri"/>
              </a:defRPr>
            </a:pPr>
          </a:p>
        </c:txPr>
        <c:crossAx val="51522900"/>
        <c:crosses val="autoZero"/>
        <c:crossBetween val="midCat"/>
        <c:majorUnit val="1"/>
      </c:valAx>
      <c:valAx>
        <c:axId val="51522900"/>
        <c:scaling>
          <c:orientation val="minMax"/>
        </c:scaling>
        <c:delete val="0"/>
        <c:axPos val="l"/>
        <c:majorGridlines>
          <c:spPr>
            <a:ln w="0">
              <a:solidFill>
                <a:srgbClr val="b3b3b3"/>
              </a:solidFill>
            </a:ln>
          </c:spPr>
        </c:majorGridlines>
        <c:numFmt formatCode="\$0.00"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97064975"/>
        <c:crosses val="autoZero"/>
        <c:crossBetween val="midCat"/>
      </c:valAx>
      <c:spPr>
        <a:noFill/>
        <a:ln w="0">
          <a:noFill/>
        </a:ln>
      </c:spPr>
    </c:plotArea>
    <c:plotVisOnly val="1"/>
    <c:dispBlanksAs val="gap"/>
  </c:chart>
  <c:spPr>
    <a:solidFill>
      <a:srgbClr val="ffffff"/>
    </a:solidFill>
    <a:ln w="9360">
      <a:solidFill>
        <a:srgbClr val="d9d9d9"/>
      </a:solidFill>
      <a:round/>
    </a:ln>
  </c:spPr>
</c:chartSpace>
</file>

<file path=xl/charts/chart15.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lang="en-US" sz="1200" spc="-1" strike="noStrike">
                <a:solidFill>
                  <a:srgbClr val="000000"/>
                </a:solidFill>
                <a:latin typeface="Calibri"/>
              </a:defRPr>
            </a:pPr>
            <a:r>
              <a:rPr b="1" lang="en-US" sz="1200" spc="-1" strike="noStrike">
                <a:solidFill>
                  <a:srgbClr val="000000"/>
                </a:solidFill>
                <a:latin typeface="Calibri"/>
              </a:rPr>
              <a:t>Inflation and the Cost of Debt: CPI vs. Prime Rate (2016-2025)
2022: CPI averaged 8.0% while the prime rate averaged 4.9%; the prime rate followed to 8.3% by 2023.</a:t>
            </a:r>
          </a:p>
        </c:rich>
      </c:tx>
      <c:overlay val="0"/>
      <c:spPr>
        <a:noFill/>
        <a:ln w="0">
          <a:noFill/>
        </a:ln>
      </c:spPr>
    </c:title>
    <c:autoTitleDeleted val="0"/>
    <c:plotArea>
      <c:layout>
        <c:manualLayout>
          <c:layoutTarget val="inner"/>
          <c:xMode val="edge"/>
          <c:yMode val="edge"/>
          <c:x val="0.100106002385054"/>
          <c:y val="0.160271228232393"/>
          <c:w val="0.798959851596661"/>
          <c:h val="0.619355832948066"/>
        </c:manualLayout>
      </c:layout>
      <c:scatterChart>
        <c:scatterStyle val="lineMarker"/>
        <c:varyColors val="0"/>
        <c:ser>
          <c:idx val="0"/>
          <c:order val="0"/>
          <c:tx>
            <c:strRef>
              <c:f>"Bank Prime Loan Rate"</c:f>
              <c:strCache>
                <c:ptCount val="1"/>
                <c:pt idx="0">
                  <c:v>Bank Prime Loan Rate</c:v>
                </c:pt>
              </c:strCache>
            </c:strRef>
          </c:tx>
          <c:spPr>
            <a:solidFill>
              <a:srgbClr val="8a8a8a"/>
            </a:solidFill>
            <a:ln w="28440">
              <a:solidFill>
                <a:srgbClr val="8a8a8a"/>
              </a:solidFill>
              <a:round/>
            </a:ln>
          </c:spPr>
          <c:marker>
            <c:symbol val="triangle"/>
            <c:size val="5"/>
            <c:spPr>
              <a:solidFill>
                <a:srgbClr val="8a8a8a"/>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0"/>
            <c:extLst>
              <c:ext xmlns:c15="http://schemas.microsoft.com/office/drawing/2012/chart" uri="{CE6537A1-D6FC-4f65-9D91-7224C49458BB}">
                <c15:showLeaderLines val="0"/>
              </c:ext>
            </c:extLst>
          </c:dLbls>
          <c:xVal>
            <c:numRef>
              <c:f>'CUZ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'CUZ vs Market'!$P$4:$P$13</c:f>
              <c:numCache>
                <c:formatCode>0.00%</c:formatCode>
                <c:ptCount val="10"/>
                <c:pt idx="0">
                  <c:v>0.0351</c:v>
                </c:pt>
                <c:pt idx="1">
                  <c:v>0.041</c:v>
                </c:pt>
                <c:pt idx="2">
                  <c:v>0.049</c:v>
                </c:pt>
                <c:pt idx="3">
                  <c:v>0.0528</c:v>
                </c:pt>
                <c:pt idx="4">
                  <c:v>0.0354</c:v>
                </c:pt>
                <c:pt idx="5">
                  <c:v>0.0325</c:v>
                </c:pt>
                <c:pt idx="6">
                  <c:v>0.0485</c:v>
                </c:pt>
                <c:pt idx="7">
                  <c:v>0.0819</c:v>
                </c:pt>
                <c:pt idx="8">
                  <c:v>0.0831</c:v>
                </c:pt>
                <c:pt idx="9">
                  <c:v>0.0737</c:v>
                </c:pt>
              </c:numCache>
            </c:numRef>
          </c:yVal>
          <c:smooth val="0"/>
        </c:ser>
        <c:ser>
          <c:idx val="1"/>
          <c:order val="1"/>
          <c:tx>
            <c:strRef>
              <c:f>"CPI Inflation (annual avg, YoY)"</c:f>
              <c:strCache>
                <c:ptCount val="1"/>
                <c:pt idx="0">
                  <c:v>CPI Inflation (annual avg, YoY)</c:v>
                </c:pt>
              </c:strCache>
            </c:strRef>
          </c:tx>
          <c:spPr>
            <a:solidFill>
              <a:srgbClr val="c08a00"/>
            </a:solidFill>
            <a:ln w="28440">
              <a:solidFill>
                <a:srgbClr val="c08a00"/>
              </a:solidFill>
              <a:round/>
            </a:ln>
          </c:spPr>
          <c:marker>
            <c:symbol val="diamond"/>
            <c:size val="5"/>
            <c:spPr>
              <a:solidFill>
                <a:srgbClr val="c08a00"/>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0"/>
            <c:extLst>
              <c:ext xmlns:c15="http://schemas.microsoft.com/office/drawing/2012/chart" uri="{CE6537A1-D6FC-4f65-9D91-7224C49458BB}">
                <c15:showLeaderLines val="0"/>
              </c:ext>
            </c:extLst>
          </c:dLbls>
          <c:xVal>
            <c:numRef>
              <c:f>'CUZ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'CUZ vs Market'!$S$4:$S$13</c:f>
              <c:numCache>
                <c:formatCode>0.0%</c:formatCode>
                <c:ptCount val="10"/>
                <c:pt idx="0">
                  <c:v>0.0126707791495431</c:v>
                </c:pt>
                <c:pt idx="1">
                  <c:v>0.0213162225786963</c:v>
                </c:pt>
                <c:pt idx="2">
                  <c:v>0.0243920349541655</c:v>
                </c:pt>
                <c:pt idx="3">
                  <c:v>0.0181322182397452</c:v>
                </c:pt>
                <c:pt idx="4">
                  <c:v>0.0125287010127009</c:v>
                </c:pt>
                <c:pt idx="5">
                  <c:v>0.0468098093148315</c:v>
                </c:pt>
                <c:pt idx="6">
                  <c:v>0.0799083303502561</c:v>
                </c:pt>
                <c:pt idx="7">
                  <c:v>0.0412711105643382</c:v>
                </c:pt>
                <c:pt idx="8">
                  <c:v>0.0295205495187116</c:v>
                </c:pt>
                <c:pt idx="9">
                  <c:v>0.0263438083762091</c:v>
                </c:pt>
              </c:numCache>
            </c:numRef>
          </c:yVal>
          <c:smooth val="0"/>
        </c:ser>
        <c:axId val="34745102"/>
        <c:axId val="66125972"/>
      </c:scatterChart>
      <c:valAx>
        <c:axId val="34745102"/>
        <c:scaling>
          <c:orientation val="minMax"/>
        </c:scaling>
        <c:delete val="0"/>
        <c:axPos val="b"/>
        <c:numFmt formatCode="0" sourceLinked="0"/>
        <c:majorTickMark val="none"/>
        <c:minorTickMark val="none"/>
        <c:tickLblPos val="low"/>
        <c:spPr>
          <a:ln w="0">
            <a:solidFill>
              <a:srgbClr val="b3b3b3"/>
            </a:solidFill>
          </a:ln>
        </c:spPr>
        <c:txPr>
          <a:bodyPr/>
          <a:lstStyle/>
          <a:p>
            <a:pPr>
              <a:defRPr b="0" sz="1000" spc="-1" strike="noStrike">
                <a:solidFill>
                  <a:srgbClr val="000000"/>
                </a:solidFill>
                <a:latin typeface="Calibri"/>
              </a:defRPr>
            </a:pPr>
          </a:p>
        </c:txPr>
        <c:crossAx val="66125972"/>
        <c:crosses val="autoZero"/>
        <c:crossBetween val="midCat"/>
        <c:majorUnit val="1"/>
      </c:valAx>
      <c:valAx>
        <c:axId val="66125972"/>
        <c:scaling>
          <c:orientation val="minMax"/>
        </c:scaling>
        <c:delete val="0"/>
        <c:axPos val="l"/>
        <c:majorGridlines>
          <c:spPr>
            <a:ln w="0">
              <a:solidFill>
                <a:srgbClr val="b3b3b3"/>
              </a:solidFill>
            </a:ln>
          </c:spPr>
        </c:majorGridlines>
        <c:numFmt formatCode="0.0%"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34745102"/>
        <c:crosses val="autoZero"/>
        <c:crossBetween val="midCat"/>
      </c:valAx>
      <c:spPr>
        <a:noFill/>
        <a:ln w="0">
          <a:noFill/>
        </a:ln>
      </c:spPr>
    </c:plotArea>
    <c:legend>
      <c:legendPos val="b"/>
      <c:overlay val="0"/>
      <c:spPr>
        <a:noFill/>
        <a:ln w="0">
          <a:noFill/>
        </a:ln>
      </c:spPr>
      <c:txPr>
        <a:bodyPr/>
        <a:lstStyle/>
        <a:p>
          <a:pPr>
            <a:defRPr b="0" sz="1000" spc="-1" strike="noStrike">
              <a:solidFill>
                <a:srgbClr val="000000"/>
              </a:solidFill>
              <a:latin typeface="Calibri"/>
            </a:defRPr>
          </a:pPr>
        </a:p>
      </c:txPr>
    </c:legend>
    <c:plotVisOnly val="1"/>
    <c:dispBlanksAs val="gap"/>
  </c:chart>
  <c:spPr>
    <a:solidFill>
      <a:srgbClr val="ffffff"/>
    </a:solidFill>
    <a:ln w="9360">
      <a:solidFill>
        <a:srgbClr val="d9d9d9"/>
      </a:solidFill>
      <a:round/>
    </a:ln>
  </c:spPr>
</c:chartSpace>
</file>

<file path=xl/charts/chart16.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lang="en-US" sz="1200" spc="-1" strike="noStrike">
                <a:solidFill>
                  <a:srgbClr val="000000"/>
                </a:solidFill>
                <a:latin typeface="Calibri"/>
              </a:defRPr>
            </a:pPr>
            <a:r>
              <a:rPr b="1" lang="en-US" sz="1200" spc="-1" strike="noStrike">
                <a:solidFill>
                  <a:srgbClr val="000000"/>
                </a:solidFill>
                <a:latin typeface="Calibri"/>
              </a:rPr>
              <a:t>Valuation: Gross NOI Multiple (2016-2025)
CUZ figures are aggregate, not per share; fully diluted units (shares plus OP and LTIP units) grew about 0.4% per year on average (2016-2025).</a:t>
            </a:r>
          </a:p>
        </c:rich>
      </c:tx>
      <c:overlay val="0"/>
      <c:spPr>
        <a:noFill/>
        <a:ln w="0">
          <a:noFill/>
        </a:ln>
      </c:spPr>
    </c:title>
    <c:autoTitleDeleted val="0"/>
    <c:plotArea>
      <c:layout>
        <c:manualLayout>
          <c:layoutTarget val="inner"/>
          <c:xMode val="edge"/>
          <c:yMode val="edge"/>
          <c:x val="0.100106002385054"/>
          <c:y val="0.160271228232393"/>
          <c:w val="0.798959851596661"/>
          <c:h val="0.619355832948066"/>
        </c:manualLayout>
      </c:layout>
      <c:scatterChart>
        <c:scatterStyle val="lineMarker"/>
        <c:varyColors val="0"/>
        <c:ser>
          <c:idx val="0"/>
          <c:order val="0"/>
          <c:tx>
            <c:strRef>
              <c:f>"Gross NOI Multiple (x)"</c:f>
              <c:strCache>
                <c:ptCount val="1"/>
                <c:pt idx="0">
                  <c:v>Gross NOI Multiple (x)</c:v>
                </c:pt>
              </c:strCache>
            </c:strRef>
          </c:tx>
          <c:spPr>
            <a:solidFill>
              <a:srgbClr val="a31f34"/>
            </a:solidFill>
            <a:ln w="28440">
              <a:solidFill>
                <a:srgbClr val="a31f34"/>
              </a:solidFill>
              <a:round/>
            </a:ln>
          </c:spPr>
          <c:marker>
            <c:symbol val="square"/>
            <c:size val="5"/>
            <c:spPr>
              <a:solidFill>
                <a:srgbClr val="a31f34"/>
              </a:solidFill>
            </c:spPr>
          </c:marker>
          <c:dPt>
            <c:idx val="0"/>
            <c:marker>
              <c:symbol val="square"/>
              <c:size val="5"/>
              <c:spPr>
                <a:solidFill>
                  <a:srgbClr val="a31f34"/>
                </a:solidFill>
              </c:spPr>
            </c:marker>
          </c:dPt>
          <c:dPt>
            <c:idx val="1"/>
            <c:marker>
              <c:symbol val="square"/>
              <c:size val="5"/>
              <c:spPr>
                <a:solidFill>
                  <a:srgbClr val="a31f34"/>
                </a:solidFill>
              </c:spPr>
            </c:marker>
          </c:dPt>
          <c:dPt>
            <c:idx val="2"/>
            <c:marker>
              <c:symbol val="square"/>
              <c:size val="5"/>
              <c:spPr>
                <a:solidFill>
                  <a:srgbClr val="a31f34"/>
                </a:solidFill>
              </c:spPr>
            </c:marker>
          </c:dPt>
          <c:dPt>
            <c:idx val="3"/>
            <c:marker>
              <c:symbol val="square"/>
              <c:size val="5"/>
              <c:spPr>
                <a:solidFill>
                  <a:srgbClr val="a31f34"/>
                </a:solidFill>
              </c:spPr>
            </c:marker>
          </c:dPt>
          <c:dPt>
            <c:idx val="4"/>
            <c:marker>
              <c:symbol val="square"/>
              <c:size val="5"/>
              <c:spPr>
                <a:solidFill>
                  <a:srgbClr val="a31f34"/>
                </a:solidFill>
              </c:spPr>
            </c:marker>
          </c:dPt>
          <c:dPt>
            <c:idx val="5"/>
            <c:marker>
              <c:symbol val="square"/>
              <c:size val="5"/>
              <c:spPr>
                <a:solidFill>
                  <a:srgbClr val="a31f34"/>
                </a:solidFill>
              </c:spPr>
            </c:marker>
          </c:dPt>
          <c:dPt>
            <c:idx val="6"/>
            <c:marker>
              <c:symbol val="square"/>
              <c:size val="5"/>
              <c:spPr>
                <a:solidFill>
                  <a:srgbClr val="a31f34"/>
                </a:solidFill>
              </c:spPr>
            </c:marker>
          </c:dPt>
          <c:dPt>
            <c:idx val="7"/>
            <c:marker>
              <c:symbol val="square"/>
              <c:size val="5"/>
              <c:spPr>
                <a:solidFill>
                  <a:srgbClr val="a31f34"/>
                </a:solidFill>
              </c:spPr>
            </c:marker>
          </c:dPt>
          <c:dPt>
            <c:idx val="8"/>
            <c:marker>
              <c:symbol val="square"/>
              <c:size val="5"/>
              <c:spPr>
                <a:solidFill>
                  <a:srgbClr val="a31f34"/>
                </a:solidFill>
              </c:spPr>
            </c:marker>
          </c:dPt>
          <c:dPt>
            <c:idx val="9"/>
            <c:marker>
              <c:symbol val="square"/>
              <c:size val="5"/>
              <c:spPr>
                <a:solidFill>
                  <a:srgbClr val="a31f34"/>
                </a:solidFill>
              </c:spPr>
            </c:marker>
          </c:dPt>
          <c:dLbls>
            <c:dLbl>
              <c:idx val="0"/>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1"/>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2"/>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3"/>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4"/>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5"/>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6"/>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7"/>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8"/>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9"/>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0"/>
            <c:extLst>
              <c:ext xmlns:c15="http://schemas.microsoft.com/office/drawing/2012/chart" uri="{CE6537A1-D6FC-4f65-9D91-7224C49458BB}">
                <c15:showLeaderLines val="0"/>
              </c:ext>
            </c:extLst>
          </c:dLbls>
          <c:xVal>
            <c:numRef>
              <c:f>'CUZ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'CUZ vs Market'!$J$4:$J$13</c:f>
              <c:numCache>
                <c:formatCode>0.0\x</c:formatCode>
                <c:ptCount val="10"/>
                <c:pt idx="0">
                  <c:v>18.3729890387696</c:v>
                </c:pt>
                <c:pt idx="1">
                  <c:v>15.5737046863725</c:v>
                </c:pt>
                <c:pt idx="2">
                  <c:v>13.5724080929146</c:v>
                </c:pt>
                <c:pt idx="3">
                  <c:v>18.4829528242896</c:v>
                </c:pt>
                <c:pt idx="4">
                  <c:v>13.9180582016896</c:v>
                </c:pt>
                <c:pt idx="5">
                  <c:v>15.7755927246212</c:v>
                </c:pt>
                <c:pt idx="6">
                  <c:v>11.625829908403</c:v>
                </c:pt>
                <c:pt idx="7">
                  <c:v>10.9035150086425</c:v>
                </c:pt>
                <c:pt idx="8">
                  <c:v>13.7705574375267</c:v>
                </c:pt>
                <c:pt idx="9">
                  <c:v>10.9769905140418</c:v>
                </c:pt>
              </c:numCache>
            </c:numRef>
          </c:yVal>
          <c:smooth val="0"/>
        </c:ser>
        <c:axId val="56948209"/>
        <c:axId val="66384174"/>
      </c:scatterChart>
      <c:valAx>
        <c:axId val="56948209"/>
        <c:scaling>
          <c:orientation val="minMax"/>
        </c:scaling>
        <c:delete val="0"/>
        <c:axPos val="b"/>
        <c:numFmt formatCode="0" sourceLinked="0"/>
        <c:majorTickMark val="none"/>
        <c:minorTickMark val="none"/>
        <c:tickLblPos val="low"/>
        <c:spPr>
          <a:ln w="0">
            <a:solidFill>
              <a:srgbClr val="b3b3b3"/>
            </a:solidFill>
          </a:ln>
        </c:spPr>
        <c:txPr>
          <a:bodyPr/>
          <a:lstStyle/>
          <a:p>
            <a:pPr>
              <a:defRPr b="0" sz="1000" spc="-1" strike="noStrike">
                <a:solidFill>
                  <a:srgbClr val="000000"/>
                </a:solidFill>
                <a:latin typeface="Calibri"/>
              </a:defRPr>
            </a:pPr>
          </a:p>
        </c:txPr>
        <c:crossAx val="66384174"/>
        <c:crosses val="autoZero"/>
        <c:crossBetween val="midCat"/>
        <c:majorUnit val="1"/>
      </c:valAx>
      <c:valAx>
        <c:axId val="66384174"/>
        <c:scaling>
          <c:orientation val="minMax"/>
        </c:scaling>
        <c:delete val="0"/>
        <c:axPos val="l"/>
        <c:majorGridlines>
          <c:spPr>
            <a:ln w="0">
              <a:solidFill>
                <a:srgbClr val="b3b3b3"/>
              </a:solidFill>
            </a:ln>
          </c:spPr>
        </c:majorGridlines>
        <c:numFmt formatCode="0.0"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56948209"/>
        <c:crosses val="autoZero"/>
        <c:crossBetween val="midCat"/>
      </c:valAx>
      <c:spPr>
        <a:noFill/>
        <a:ln w="0">
          <a:noFill/>
        </a:ln>
      </c:spPr>
    </c:plotArea>
    <c:plotVisOnly val="1"/>
    <c:dispBlanksAs val="gap"/>
  </c:chart>
  <c:spPr>
    <a:solidFill>
      <a:srgbClr val="ffffff"/>
    </a:solidFill>
    <a:ln w="9360">
      <a:solidFill>
        <a:srgbClr val="d9d9d9"/>
      </a:solidFill>
      <a:round/>
    </a:ln>
  </c:spPr>
</c:chartSpace>
</file>

<file path=xl/charts/chart17.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lang="en-US" sz="1800" spc="-1" strike="noStrike">
                <a:solidFill>
                  <a:srgbClr val="000000"/>
                </a:solidFill>
                <a:latin typeface="Calibri"/>
              </a:defRPr>
            </a:pPr>
            <a:r>
              <a:rPr b="1" lang="en-US" sz="1800" spc="-1" strike="noStrike">
                <a:solidFill>
                  <a:srgbClr val="000000"/>
                </a:solidFill>
                <a:latin typeface="Calibri"/>
              </a:rPr>
              <a:t>CUZ Stabilized Implied Cap Rate vs. 10-Yr UST, with Spread (2016-2025)</a:t>
            </a:r>
          </a:p>
        </c:rich>
      </c:tx>
      <c:overlay val="0"/>
      <c:spPr>
        <a:noFill/>
        <a:ln w="0">
          <a:noFill/>
        </a:ln>
      </c:spPr>
    </c:title>
    <c:autoTitleDeleted val="0"/>
    <c:plotArea>
      <c:layout>
        <c:manualLayout>
          <c:layoutTarget val="inner"/>
          <c:xMode val="edge"/>
          <c:yMode val="edge"/>
          <c:x val="0.100106002385054"/>
          <c:y val="0.140237324703344"/>
          <c:w val="0.798959851596661"/>
          <c:h val="0.679457543535214"/>
        </c:manualLayout>
      </c:layout>
      <c:barChart>
        <c:barDir val="col"/>
        <c:grouping val="clustered"/>
        <c:varyColors val="0"/>
        <c:ser>
          <c:idx val="0"/>
          <c:order val="0"/>
          <c:tx>
            <c:strRef>
              <c:f>'CUZ vs Market'!$D$3</c:f>
              <c:strCache>
                <c:ptCount val="1"/>
                <c:pt idx="0">
                  <c:v>Spread: Cap Rate less UST (pp)</c:v>
                </c:pt>
              </c:strCache>
            </c:strRef>
          </c:tx>
          <c:spPr>
            <a:solidFill>
              <a:srgbClr val="d9a0a8"/>
            </a:solidFill>
            <a:ln w="0">
              <a:solidFill>
                <a:srgbClr val="b87b85"/>
              </a:solidFill>
            </a:ln>
          </c:spPr>
          <c:invertIfNegative val="0"/>
          <c:dLbls>
            <c:txPr>
              <a:bodyPr wrap="square"/>
              <a:lstStyle/>
              <a:p>
                <a:pPr>
                  <a:defRPr b="0" sz="1000" spc="-1" strike="noStrike">
                    <a:solidFill>
                      <a:srgbClr val="000000"/>
                    </a:solidFill>
                    <a:latin typeface="Calibri"/>
                  </a:defRPr>
                </a:pPr>
              </a:p>
            </c:txPr>
            <c:dLblPos val="outEnd"/>
            <c:showLegendKey val="0"/>
            <c:showVal val="0"/>
            <c:showCatName val="0"/>
            <c:showSerName val="0"/>
            <c:showPercent val="0"/>
            <c:separator>; </c:separator>
            <c:showLeaderLines val="0"/>
            <c:extLst>
              <c:ext xmlns:c15="http://schemas.microsoft.com/office/drawing/2012/chart" uri="{CE6537A1-D6FC-4f65-9D91-7224C49458BB}">
                <c15:showLeaderLines val="0"/>
              </c:ext>
            </c:extLst>
          </c:dLbls>
          <c:cat>
            <c:strRef>
              <c:f>'CUZ vs Market'!$A$4:$A$13</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f>'CUZ vs Market'!$D$4:$D$13</c:f>
              <c:numCache>
                <c:formatCode>0.00%</c:formatCode>
                <c:ptCount val="10"/>
                <c:pt idx="0">
                  <c:v>0.0299277252813822</c:v>
                </c:pt>
                <c:pt idx="1">
                  <c:v>0.04021079763218</c:v>
                </c:pt>
                <c:pt idx="2">
                  <c:v>0.0467788927325319</c:v>
                </c:pt>
                <c:pt idx="3">
                  <c:v>0.034903909126784</c:v>
                </c:pt>
                <c:pt idx="4">
                  <c:v>0.0625491031944818</c:v>
                </c:pt>
                <c:pt idx="5">
                  <c:v>0.0481890603957646</c:v>
                </c:pt>
                <c:pt idx="6">
                  <c:v>0.0472153647420225</c:v>
                </c:pt>
                <c:pt idx="7">
                  <c:v>0.0529135436790211</c:v>
                </c:pt>
                <c:pt idx="8">
                  <c:v>0.0268187014967787</c:v>
                </c:pt>
                <c:pt idx="9">
                  <c:v>0.0492996505572995</c:v>
                </c:pt>
              </c:numCache>
            </c:numRef>
          </c:val>
        </c:ser>
        <c:gapWidth val="80"/>
        <c:overlap val="0"/>
        <c:axId val="68195619"/>
        <c:axId val="21308903"/>
      </c:barChart>
      <c:lineChart>
        <c:grouping val="standard"/>
        <c:varyColors val="0"/>
        <c:ser>
          <c:idx val="1"/>
          <c:order val="1"/>
          <c:tx>
            <c:strRef>
              <c:f>'CUZ vs Market'!$B$3</c:f>
              <c:strCache>
                <c:ptCount val="1"/>
                <c:pt idx="0">
                  <c:v>CUZ Stabilized Implied Cap Rate (%)</c:v>
                </c:pt>
              </c:strCache>
            </c:strRef>
          </c:tx>
          <c:spPr>
            <a:solidFill>
              <a:srgbClr val="a31f34"/>
            </a:solidFill>
            <a:ln w="28080">
              <a:solidFill>
                <a:srgbClr val="a31f34"/>
              </a:solidFill>
              <a:round/>
            </a:ln>
          </c:spPr>
          <c:marker>
            <c:symbol val="circle"/>
            <c:size val="6"/>
            <c:spPr>
              <a:solidFill>
                <a:srgbClr val="a31f34"/>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0"/>
            <c:extLst>
              <c:ext xmlns:c15="http://schemas.microsoft.com/office/drawing/2012/chart" uri="{CE6537A1-D6FC-4f65-9D91-7224C49458BB}">
                <c15:showLeaderLines val="0"/>
              </c:ext>
            </c:extLst>
          </c:dLbls>
          <c:cat>
            <c:strRef>
              <c:f>'CUZ vs Market'!$A$4:$A$13</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f>'CUZ vs Market'!$B$4:$B$13</c:f>
              <c:numCache>
                <c:formatCode>0.00%</c:formatCode>
                <c:ptCount val="10"/>
                <c:pt idx="0">
                  <c:v>0.0544277252813822</c:v>
                </c:pt>
                <c:pt idx="1">
                  <c:v>0.06421079763218</c:v>
                </c:pt>
                <c:pt idx="2">
                  <c:v>0.0736788927325319</c:v>
                </c:pt>
                <c:pt idx="3">
                  <c:v>0.054103909126784</c:v>
                </c:pt>
                <c:pt idx="4">
                  <c:v>0.0718491031944818</c:v>
                </c:pt>
                <c:pt idx="5">
                  <c:v>0.0633890603957646</c:v>
                </c:pt>
                <c:pt idx="6">
                  <c:v>0.0860153647420225</c:v>
                </c:pt>
                <c:pt idx="7">
                  <c:v>0.0917135436790211</c:v>
                </c:pt>
                <c:pt idx="8">
                  <c:v>0.0726187014967787</c:v>
                </c:pt>
                <c:pt idx="9">
                  <c:v>0.0910996505572995</c:v>
                </c:pt>
              </c:numCache>
            </c:numRef>
          </c:val>
          <c:smooth val="0"/>
        </c:ser>
        <c:ser>
          <c:idx val="2"/>
          <c:order val="2"/>
          <c:tx>
            <c:strRef>
              <c:f>'CUZ vs Market'!$C$3</c:f>
              <c:strCache>
                <c:ptCount val="1"/>
                <c:pt idx="0">
                  <c:v>10-Yr UST Yield (%)</c:v>
                </c:pt>
              </c:strCache>
            </c:strRef>
          </c:tx>
          <c:spPr>
            <a:solidFill>
              <a:srgbClr val="3a3a3a"/>
            </a:solidFill>
            <a:ln w="28080">
              <a:solidFill>
                <a:srgbClr val="3a3a3a"/>
              </a:solidFill>
              <a:round/>
            </a:ln>
          </c:spPr>
          <c:marker>
            <c:symbol val="circle"/>
            <c:size val="6"/>
            <c:spPr>
              <a:solidFill>
                <a:srgbClr val="3a3a3a"/>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0"/>
            <c:extLst>
              <c:ext xmlns:c15="http://schemas.microsoft.com/office/drawing/2012/chart" uri="{CE6537A1-D6FC-4f65-9D91-7224C49458BB}">
                <c15:showLeaderLines val="0"/>
              </c:ext>
            </c:extLst>
          </c:dLbls>
          <c:cat>
            <c:strRef>
              <c:f>'CUZ vs Market'!$A$4:$A$13</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f>'CUZ vs Market'!$C$4:$C$13</c:f>
              <c:numCache>
                <c:formatCode>0.00%</c:formatCode>
                <c:ptCount val="10"/>
                <c:pt idx="0">
                  <c:v>0.0245</c:v>
                </c:pt>
                <c:pt idx="1">
                  <c:v>0.024</c:v>
                </c:pt>
                <c:pt idx="2">
                  <c:v>0.0269</c:v>
                </c:pt>
                <c:pt idx="3">
                  <c:v>0.0192</c:v>
                </c:pt>
                <c:pt idx="4">
                  <c:v>0.0093</c:v>
                </c:pt>
                <c:pt idx="5">
                  <c:v>0.0152</c:v>
                </c:pt>
                <c:pt idx="6">
                  <c:v>0.0388</c:v>
                </c:pt>
                <c:pt idx="7">
                  <c:v>0.0388</c:v>
                </c:pt>
                <c:pt idx="8">
                  <c:v>0.0458</c:v>
                </c:pt>
                <c:pt idx="9">
                  <c:v>0.0418</c:v>
                </c:pt>
              </c:numCache>
            </c:numRef>
          </c:val>
          <c:smooth val="0"/>
        </c:ser>
        <c:hiLowLines>
          <c:spPr>
            <a:ln w="0">
              <a:noFill/>
            </a:ln>
          </c:spPr>
        </c:hiLowLines>
        <c:marker val="1"/>
        <c:axId val="99794538"/>
        <c:axId val="61597419"/>
      </c:lineChart>
      <c:catAx>
        <c:axId val="68195619"/>
        <c:scaling>
          <c:orientation val="minMax"/>
        </c:scaling>
        <c:delete val="0"/>
        <c:axPos val="b"/>
        <c:numFmt formatCode="General" sourceLinked="0"/>
        <c:majorTickMark val="none"/>
        <c:minorTickMark val="none"/>
        <c:tickLblPos val="low"/>
        <c:spPr>
          <a:ln w="0">
            <a:solidFill>
              <a:srgbClr val="b3b3b3"/>
            </a:solidFill>
          </a:ln>
        </c:spPr>
        <c:txPr>
          <a:bodyPr/>
          <a:lstStyle/>
          <a:p>
            <a:pPr>
              <a:defRPr b="0" sz="1000" spc="-1" strike="noStrike">
                <a:solidFill>
                  <a:srgbClr val="000000"/>
                </a:solidFill>
                <a:latin typeface="Calibri"/>
              </a:defRPr>
            </a:pPr>
          </a:p>
        </c:txPr>
        <c:crossAx val="21308903"/>
        <c:crosses val="autoZero"/>
        <c:auto val="1"/>
        <c:lblAlgn val="ctr"/>
        <c:lblOffset val="100"/>
        <c:noMultiLvlLbl val="0"/>
      </c:catAx>
      <c:valAx>
        <c:axId val="21308903"/>
        <c:scaling>
          <c:orientation val="minMax"/>
        </c:scaling>
        <c:delete val="0"/>
        <c:axPos val="l"/>
        <c:majorGridlines>
          <c:spPr>
            <a:ln w="0">
              <a:solidFill>
                <a:srgbClr val="b3b3b3"/>
              </a:solidFill>
            </a:ln>
          </c:spPr>
        </c:majorGridlines>
        <c:title>
          <c:tx>
            <c:rich>
              <a:bodyPr rot="-5400000"/>
              <a:lstStyle/>
              <a:p>
                <a:pPr>
                  <a:defRPr b="1" lang="en-US" sz="1000" spc="-1" strike="noStrike">
                    <a:solidFill>
                      <a:srgbClr val="000000"/>
                    </a:solidFill>
                    <a:latin typeface="Calibri"/>
                  </a:defRPr>
                </a:pPr>
                <a:r>
                  <a:rPr b="1" lang="en-US" sz="1000" spc="-1" strike="noStrike">
                    <a:solidFill>
                      <a:srgbClr val="000000"/>
                    </a:solidFill>
                    <a:latin typeface="Calibri"/>
                  </a:rPr>
                  <a:t>Spread (pct pts)</a:t>
                </a:r>
              </a:p>
            </c:rich>
          </c:tx>
          <c:overlay val="0"/>
          <c:spPr>
            <a:noFill/>
            <a:ln w="0">
              <a:noFill/>
            </a:ln>
          </c:spPr>
        </c:title>
        <c:numFmt formatCode="0.0%"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68195619"/>
        <c:crosses val="autoZero"/>
        <c:crossBetween val="between"/>
      </c:valAx>
      <c:catAx>
        <c:axId val="99794538"/>
        <c:scaling>
          <c:orientation val="minMax"/>
        </c:scaling>
        <c:delete val="1"/>
        <c:axPos val="t"/>
        <c:numFmt formatCode="General" sourceLinked="1"/>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61597419"/>
        <c:auto val="1"/>
        <c:lblAlgn val="ctr"/>
        <c:lblOffset val="100"/>
        <c:noMultiLvlLbl val="0"/>
      </c:catAx>
      <c:valAx>
        <c:axId val="61597419"/>
        <c:scaling>
          <c:orientation val="minMax"/>
        </c:scaling>
        <c:delete val="0"/>
        <c:axPos val="r"/>
        <c:title>
          <c:tx>
            <c:rich>
              <a:bodyPr rot="-5400000"/>
              <a:lstStyle/>
              <a:p>
                <a:pPr>
                  <a:defRPr b="1" lang="en-US" sz="1000" spc="-1" strike="noStrike">
                    <a:solidFill>
                      <a:srgbClr val="000000"/>
                    </a:solidFill>
                    <a:latin typeface="Calibri"/>
                  </a:defRPr>
                </a:pPr>
                <a:r>
                  <a:rPr b="1" lang="en-US" sz="1000" spc="-1" strike="noStrike">
                    <a:solidFill>
                      <a:srgbClr val="000000"/>
                    </a:solidFill>
                    <a:latin typeface="Calibri"/>
                  </a:rPr>
                  <a:t>Yield (%)</a:t>
                </a:r>
              </a:p>
            </c:rich>
          </c:tx>
          <c:overlay val="0"/>
          <c:spPr>
            <a:noFill/>
            <a:ln w="0">
              <a:noFill/>
            </a:ln>
          </c:spPr>
        </c:title>
        <c:numFmt formatCode="0.0%"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99794538"/>
        <c:crosses val="max"/>
        <c:crossBetween val="between"/>
      </c:valAx>
      <c:spPr>
        <a:noFill/>
        <a:ln w="0">
          <a:noFill/>
        </a:ln>
      </c:spPr>
    </c:plotArea>
    <c:legend>
      <c:legendPos val="b"/>
      <c:overlay val="0"/>
      <c:spPr>
        <a:noFill/>
        <a:ln w="0">
          <a:noFill/>
        </a:ln>
      </c:spPr>
      <c:txPr>
        <a:bodyPr/>
        <a:lstStyle/>
        <a:p>
          <a:pPr>
            <a:defRPr b="0" sz="1000" spc="-1" strike="noStrike">
              <a:solidFill>
                <a:srgbClr val="000000"/>
              </a:solidFill>
              <a:latin typeface="Calibri"/>
            </a:defRPr>
          </a:pPr>
        </a:p>
      </c:txPr>
    </c:legend>
    <c:plotVisOnly val="1"/>
    <c:dispBlanksAs val="gap"/>
  </c:chart>
  <c:spPr>
    <a:solidFill>
      <a:srgbClr val="ffffff"/>
    </a:solidFill>
    <a:ln w="9360">
      <a:solidFill>
        <a:srgbClr val="d9d9d9"/>
      </a:solidFill>
      <a:round/>
    </a:ln>
  </c:spPr>
</c:chartSpace>
</file>

<file path=xl/charts/chart18.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lang="en-US" sz="1800" spc="-1" strike="noStrike">
                <a:solidFill>
                  <a:srgbClr val="000000"/>
                </a:solidFill>
                <a:latin typeface="Calibri"/>
              </a:defRPr>
            </a:pPr>
            <a:r>
              <a:rPr b="1" lang="en-US" sz="1800" spc="-1" strike="noStrike">
                <a:solidFill>
                  <a:srgbClr val="000000"/>
                </a:solidFill>
                <a:latin typeface="Calibri"/>
              </a:rPr>
              <a:t>CUZ: Cap Rate vs. Leveraged Equity Yield (2016-2025)</a:t>
            </a:r>
          </a:p>
        </c:rich>
      </c:tx>
      <c:overlay val="0"/>
      <c:spPr>
        <a:noFill/>
        <a:ln w="0">
          <a:noFill/>
        </a:ln>
      </c:spPr>
    </c:title>
    <c:autoTitleDeleted val="0"/>
    <c:plotArea>
      <c:layout>
        <c:manualLayout>
          <c:layoutTarget val="inner"/>
          <c:xMode val="edge"/>
          <c:yMode val="edge"/>
          <c:x val="0.100106002385054"/>
          <c:y val="0.140237324703344"/>
          <c:w val="0.798959851596661"/>
          <c:h val="0.679457543535214"/>
        </c:manualLayout>
      </c:layout>
      <c:barChart>
        <c:barDir val="col"/>
        <c:grouping val="clustered"/>
        <c:varyColors val="0"/>
        <c:ser>
          <c:idx val="0"/>
          <c:order val="0"/>
          <c:tx>
            <c:strRef>
              <c:f>'CUZ vs Market'!$F$3</c:f>
              <c:strCache>
                <c:ptCount val="1"/>
                <c:pt idx="0">
                  <c:v>Leverage Contribution: Lev Yield less Cap Rate (pp)</c:v>
                </c:pt>
              </c:strCache>
            </c:strRef>
          </c:tx>
          <c:spPr>
            <a:solidFill>
              <a:srgbClr val="9dbb9d"/>
            </a:solidFill>
            <a:ln w="0">
              <a:solidFill>
                <a:srgbClr val="7a9a7a"/>
              </a:solidFill>
            </a:ln>
          </c:spPr>
          <c:invertIfNegative val="0"/>
          <c:dLbls>
            <c:txPr>
              <a:bodyPr wrap="square"/>
              <a:lstStyle/>
              <a:p>
                <a:pPr>
                  <a:defRPr b="0" sz="1000" spc="-1" strike="noStrike">
                    <a:solidFill>
                      <a:srgbClr val="000000"/>
                    </a:solidFill>
                    <a:latin typeface="Calibri"/>
                  </a:defRPr>
                </a:pPr>
              </a:p>
            </c:txPr>
            <c:dLblPos val="outEnd"/>
            <c:showLegendKey val="0"/>
            <c:showVal val="0"/>
            <c:showCatName val="0"/>
            <c:showSerName val="0"/>
            <c:showPercent val="0"/>
            <c:separator>; </c:separator>
            <c:showLeaderLines val="0"/>
            <c:extLst>
              <c:ext xmlns:c15="http://schemas.microsoft.com/office/drawing/2012/chart" uri="{CE6537A1-D6FC-4f65-9D91-7224C49458BB}">
                <c15:showLeaderLines val="0"/>
              </c:ext>
            </c:extLst>
          </c:dLbls>
          <c:cat>
            <c:strRef>
              <c:f>'CUZ vs Market'!$A$4:$A$13</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f>'CUZ vs Market'!$F$4:$F$13</c:f>
              <c:numCache>
                <c:formatCode>0.00%</c:formatCode>
                <c:ptCount val="10"/>
                <c:pt idx="0">
                  <c:v>0.0151580045371275</c:v>
                </c:pt>
                <c:pt idx="1">
                  <c:v>0.0109772648411492</c:v>
                </c:pt>
                <c:pt idx="2">
                  <c:v>0.0141111456391256</c:v>
                </c:pt>
                <c:pt idx="3">
                  <c:v>0.0114594283920843</c:v>
                </c:pt>
                <c:pt idx="4">
                  <c:v>0.0225053067572631</c:v>
                </c:pt>
                <c:pt idx="5">
                  <c:v>0.0145349784693773</c:v>
                </c:pt>
                <c:pt idx="6">
                  <c:v>0.039057567866335</c:v>
                </c:pt>
                <c:pt idx="7">
                  <c:v>0.041516969195995</c:v>
                </c:pt>
                <c:pt idx="8">
                  <c:v>0.0242006448326556</c:v>
                </c:pt>
                <c:pt idx="9">
                  <c:v>0.0387597437086508</c:v>
                </c:pt>
              </c:numCache>
            </c:numRef>
          </c:val>
        </c:ser>
        <c:gapWidth val="80"/>
        <c:overlap val="0"/>
        <c:axId val="49130701"/>
        <c:axId val="59115814"/>
      </c:barChart>
      <c:lineChart>
        <c:grouping val="standard"/>
        <c:varyColors val="0"/>
        <c:ser>
          <c:idx val="1"/>
          <c:order val="1"/>
          <c:tx>
            <c:strRef>
              <c:f>'CUZ vs Market'!$B$3</c:f>
              <c:strCache>
                <c:ptCount val="1"/>
                <c:pt idx="0">
                  <c:v>CUZ Stabilized Implied Cap Rate (%)</c:v>
                </c:pt>
              </c:strCache>
            </c:strRef>
          </c:tx>
          <c:spPr>
            <a:solidFill>
              <a:srgbClr val="a31f34"/>
            </a:solidFill>
            <a:ln w="28080">
              <a:solidFill>
                <a:srgbClr val="a31f34"/>
              </a:solidFill>
              <a:round/>
            </a:ln>
          </c:spPr>
          <c:marker>
            <c:symbol val="circle"/>
            <c:size val="6"/>
            <c:spPr>
              <a:solidFill>
                <a:srgbClr val="a31f34"/>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0"/>
            <c:extLst>
              <c:ext xmlns:c15="http://schemas.microsoft.com/office/drawing/2012/chart" uri="{CE6537A1-D6FC-4f65-9D91-7224C49458BB}">
                <c15:showLeaderLines val="0"/>
              </c:ext>
            </c:extLst>
          </c:dLbls>
          <c:cat>
            <c:strRef>
              <c:f>'CUZ vs Market'!$A$4:$A$13</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f>'CUZ vs Market'!$B$4:$B$13</c:f>
              <c:numCache>
                <c:formatCode>0.00%</c:formatCode>
                <c:ptCount val="10"/>
                <c:pt idx="0">
                  <c:v>0.0544277252813822</c:v>
                </c:pt>
                <c:pt idx="1">
                  <c:v>0.06421079763218</c:v>
                </c:pt>
                <c:pt idx="2">
                  <c:v>0.0736788927325319</c:v>
                </c:pt>
                <c:pt idx="3">
                  <c:v>0.054103909126784</c:v>
                </c:pt>
                <c:pt idx="4">
                  <c:v>0.0718491031944818</c:v>
                </c:pt>
                <c:pt idx="5">
                  <c:v>0.0633890603957646</c:v>
                </c:pt>
                <c:pt idx="6">
                  <c:v>0.0860153647420225</c:v>
                </c:pt>
                <c:pt idx="7">
                  <c:v>0.0917135436790211</c:v>
                </c:pt>
                <c:pt idx="8">
                  <c:v>0.0726187014967787</c:v>
                </c:pt>
                <c:pt idx="9">
                  <c:v>0.0910996505572995</c:v>
                </c:pt>
              </c:numCache>
            </c:numRef>
          </c:val>
          <c:smooth val="0"/>
        </c:ser>
        <c:ser>
          <c:idx val="2"/>
          <c:order val="2"/>
          <c:tx>
            <c:strRef>
              <c:f>'CUZ vs Market'!$E$3</c:f>
              <c:strCache>
                <c:ptCount val="1"/>
                <c:pt idx="0">
                  <c:v>CUZ Stabilized Leveraged Equity Yield (%)</c:v>
                </c:pt>
              </c:strCache>
            </c:strRef>
          </c:tx>
          <c:spPr>
            <a:solidFill>
              <a:srgbClr val="3a3a3a"/>
            </a:solidFill>
            <a:ln w="28080">
              <a:solidFill>
                <a:srgbClr val="3a3a3a"/>
              </a:solidFill>
              <a:round/>
            </a:ln>
          </c:spPr>
          <c:marker>
            <c:symbol val="circle"/>
            <c:size val="6"/>
            <c:spPr>
              <a:solidFill>
                <a:srgbClr val="3a3a3a"/>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0"/>
            <c:extLst>
              <c:ext xmlns:c15="http://schemas.microsoft.com/office/drawing/2012/chart" uri="{CE6537A1-D6FC-4f65-9D91-7224C49458BB}">
                <c15:showLeaderLines val="0"/>
              </c:ext>
            </c:extLst>
          </c:dLbls>
          <c:cat>
            <c:strRef>
              <c:f>'CUZ vs Market'!$A$4:$A$13</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f>'CUZ vs Market'!$E$4:$E$13</c:f>
              <c:numCache>
                <c:formatCode>0.00%</c:formatCode>
                <c:ptCount val="10"/>
                <c:pt idx="0">
                  <c:v>0.0695857298185097</c:v>
                </c:pt>
                <c:pt idx="1">
                  <c:v>0.0751880624733292</c:v>
                </c:pt>
                <c:pt idx="2">
                  <c:v>0.0877900383716575</c:v>
                </c:pt>
                <c:pt idx="3">
                  <c:v>0.0655633375188683</c:v>
                </c:pt>
                <c:pt idx="4">
                  <c:v>0.094354409951745</c:v>
                </c:pt>
                <c:pt idx="5">
                  <c:v>0.0779240388651419</c:v>
                </c:pt>
                <c:pt idx="6">
                  <c:v>0.125072932608357</c:v>
                </c:pt>
                <c:pt idx="7">
                  <c:v>0.133230512875016</c:v>
                </c:pt>
                <c:pt idx="8">
                  <c:v>0.0968193463294343</c:v>
                </c:pt>
                <c:pt idx="9">
                  <c:v>0.12985939426595</c:v>
                </c:pt>
              </c:numCache>
            </c:numRef>
          </c:val>
          <c:smooth val="0"/>
        </c:ser>
        <c:hiLowLines>
          <c:spPr>
            <a:ln w="0">
              <a:noFill/>
            </a:ln>
          </c:spPr>
        </c:hiLowLines>
        <c:marker val="1"/>
        <c:axId val="26039059"/>
        <c:axId val="83302340"/>
      </c:lineChart>
      <c:catAx>
        <c:axId val="49130701"/>
        <c:scaling>
          <c:orientation val="minMax"/>
        </c:scaling>
        <c:delete val="0"/>
        <c:axPos val="b"/>
        <c:numFmt formatCode="General" sourceLinked="0"/>
        <c:majorTickMark val="none"/>
        <c:minorTickMark val="none"/>
        <c:tickLblPos val="low"/>
        <c:spPr>
          <a:ln w="0">
            <a:solidFill>
              <a:srgbClr val="b3b3b3"/>
            </a:solidFill>
          </a:ln>
        </c:spPr>
        <c:txPr>
          <a:bodyPr/>
          <a:lstStyle/>
          <a:p>
            <a:pPr>
              <a:defRPr b="0" sz="1000" spc="-1" strike="noStrike">
                <a:solidFill>
                  <a:srgbClr val="000000"/>
                </a:solidFill>
                <a:latin typeface="Calibri"/>
              </a:defRPr>
            </a:pPr>
          </a:p>
        </c:txPr>
        <c:crossAx val="59115814"/>
        <c:crosses val="autoZero"/>
        <c:auto val="1"/>
        <c:lblAlgn val="ctr"/>
        <c:lblOffset val="100"/>
        <c:noMultiLvlLbl val="0"/>
      </c:catAx>
      <c:valAx>
        <c:axId val="59115814"/>
        <c:scaling>
          <c:orientation val="minMax"/>
        </c:scaling>
        <c:delete val="0"/>
        <c:axPos val="l"/>
        <c:majorGridlines>
          <c:spPr>
            <a:ln w="0">
              <a:solidFill>
                <a:srgbClr val="b3b3b3"/>
              </a:solidFill>
            </a:ln>
          </c:spPr>
        </c:majorGridlines>
        <c:title>
          <c:tx>
            <c:rich>
              <a:bodyPr rot="-5400000"/>
              <a:lstStyle/>
              <a:p>
                <a:pPr>
                  <a:defRPr b="1" lang="en-US" sz="1000" spc="-1" strike="noStrike">
                    <a:solidFill>
                      <a:srgbClr val="000000"/>
                    </a:solidFill>
                    <a:latin typeface="Calibri"/>
                  </a:defRPr>
                </a:pPr>
                <a:r>
                  <a:rPr b="1" lang="en-US" sz="1000" spc="-1" strike="noStrike">
                    <a:solidFill>
                      <a:srgbClr val="000000"/>
                    </a:solidFill>
                    <a:latin typeface="Calibri"/>
                  </a:rPr>
                  <a:t>Leverage contribution (pct pts)</a:t>
                </a:r>
              </a:p>
            </c:rich>
          </c:tx>
          <c:overlay val="0"/>
          <c:spPr>
            <a:noFill/>
            <a:ln w="0">
              <a:noFill/>
            </a:ln>
          </c:spPr>
        </c:title>
        <c:numFmt formatCode="0.0%"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49130701"/>
        <c:crosses val="autoZero"/>
        <c:crossBetween val="between"/>
      </c:valAx>
      <c:catAx>
        <c:axId val="26039059"/>
        <c:scaling>
          <c:orientation val="minMax"/>
        </c:scaling>
        <c:delete val="1"/>
        <c:axPos val="t"/>
        <c:numFmt formatCode="General" sourceLinked="1"/>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83302340"/>
        <c:auto val="1"/>
        <c:lblAlgn val="ctr"/>
        <c:lblOffset val="100"/>
        <c:noMultiLvlLbl val="0"/>
      </c:catAx>
      <c:valAx>
        <c:axId val="83302340"/>
        <c:scaling>
          <c:orientation val="minMax"/>
        </c:scaling>
        <c:delete val="0"/>
        <c:axPos val="r"/>
        <c:title>
          <c:tx>
            <c:rich>
              <a:bodyPr rot="-5400000"/>
              <a:lstStyle/>
              <a:p>
                <a:pPr>
                  <a:defRPr b="1" lang="en-US" sz="1000" spc="-1" strike="noStrike">
                    <a:solidFill>
                      <a:srgbClr val="000000"/>
                    </a:solidFill>
                    <a:latin typeface="Calibri"/>
                  </a:defRPr>
                </a:pPr>
                <a:r>
                  <a:rPr b="1" lang="en-US" sz="1000" spc="-1" strike="noStrike">
                    <a:solidFill>
                      <a:srgbClr val="000000"/>
                    </a:solidFill>
                    <a:latin typeface="Calibri"/>
                  </a:rPr>
                  <a:t>Yield (%)</a:t>
                </a:r>
              </a:p>
            </c:rich>
          </c:tx>
          <c:overlay val="0"/>
          <c:spPr>
            <a:noFill/>
            <a:ln w="0">
              <a:noFill/>
            </a:ln>
          </c:spPr>
        </c:title>
        <c:numFmt formatCode="0.0%"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26039059"/>
        <c:crosses val="max"/>
        <c:crossBetween val="between"/>
      </c:valAx>
      <c:spPr>
        <a:noFill/>
        <a:ln w="0">
          <a:noFill/>
        </a:ln>
      </c:spPr>
    </c:plotArea>
    <c:legend>
      <c:legendPos val="b"/>
      <c:overlay val="0"/>
      <c:spPr>
        <a:noFill/>
        <a:ln w="0">
          <a:noFill/>
        </a:ln>
      </c:spPr>
      <c:txPr>
        <a:bodyPr/>
        <a:lstStyle/>
        <a:p>
          <a:pPr>
            <a:defRPr b="0" sz="1000" spc="-1" strike="noStrike">
              <a:solidFill>
                <a:srgbClr val="000000"/>
              </a:solidFill>
              <a:latin typeface="Calibri"/>
            </a:defRPr>
          </a:pPr>
        </a:p>
      </c:txPr>
    </c:legend>
    <c:plotVisOnly val="1"/>
    <c:dispBlanksAs val="gap"/>
  </c:chart>
  <c:spPr>
    <a:solidFill>
      <a:srgbClr val="ffffff"/>
    </a:solidFill>
    <a:ln w="9360">
      <a:solidFill>
        <a:srgbClr val="d9d9d9"/>
      </a:solidFill>
      <a:round/>
    </a:ln>
  </c:spPr>
</c:chartSpace>
</file>

<file path=xl/charts/chart19.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lang="en-US" sz="1200" spc="-1" strike="noStrike">
                <a:solidFill>
                  <a:srgbClr val="000000"/>
                </a:solidFill>
                <a:latin typeface="Calibri"/>
              </a:defRPr>
            </a:pPr>
            <a:r>
              <a:rPr b="1" lang="en-US" sz="1200" spc="-1" strike="noStrike">
                <a:solidFill>
                  <a:srgbClr val="000000"/>
                </a:solidFill>
                <a:latin typeface="Calibri"/>
              </a:rPr>
              <a:t>Annual NOI (labeled YoY growth) and Stabilized TEV: Gross NOI Multiple (2016-2025)</a:t>
            </a:r>
          </a:p>
        </c:rich>
      </c:tx>
      <c:overlay val="0"/>
      <c:spPr>
        <a:noFill/>
        <a:ln w="0">
          <a:noFill/>
        </a:ln>
      </c:spPr>
    </c:title>
    <c:autoTitleDeleted val="0"/>
    <c:plotArea>
      <c:layout>
        <c:manualLayout>
          <c:layoutTarget val="inner"/>
          <c:xMode val="edge"/>
          <c:yMode val="edge"/>
          <c:x val="0.0900357758049556"/>
          <c:y val="0.200339035290492"/>
          <c:w val="0.819000927520869"/>
          <c:h val="0.559254122360918"/>
        </c:manualLayout>
      </c:layout>
      <c:barChart>
        <c:barDir val="col"/>
        <c:grouping val="stacked"/>
        <c:varyColors val="0"/>
        <c:ser>
          <c:idx val="0"/>
          <c:order val="0"/>
          <c:tx>
            <c:strRef>
              <c:f>"Annual NOI ($M)"</c:f>
              <c:strCache>
                <c:ptCount val="1"/>
                <c:pt idx="0">
                  <c:v>Annual NOI ($M)</c:v>
                </c:pt>
              </c:strCache>
            </c:strRef>
          </c:tx>
          <c:spPr>
            <a:solidFill>
              <a:srgbClr val="a31f34"/>
            </a:solidFill>
            <a:ln w="0">
              <a:noFill/>
            </a:ln>
          </c:spPr>
          <c:invertIfNegative val="0"/>
          <c:dPt>
            <c:idx val="1"/>
            <c:invertIfNegative val="0"/>
            <c:spPr>
              <a:solidFill>
                <a:srgbClr val="a31f34"/>
              </a:solidFill>
              <a:ln w="0">
                <a:noFill/>
              </a:ln>
            </c:spPr>
          </c:dPt>
          <c:dPt>
            <c:idx val="2"/>
            <c:invertIfNegative val="0"/>
            <c:spPr>
              <a:solidFill>
                <a:srgbClr val="a31f34"/>
              </a:solidFill>
              <a:ln w="0">
                <a:noFill/>
              </a:ln>
            </c:spPr>
          </c:dPt>
          <c:dPt>
            <c:idx val="3"/>
            <c:invertIfNegative val="0"/>
            <c:spPr>
              <a:solidFill>
                <a:srgbClr val="a31f34"/>
              </a:solidFill>
              <a:ln w="0">
                <a:noFill/>
              </a:ln>
            </c:spPr>
          </c:dPt>
          <c:dPt>
            <c:idx val="4"/>
            <c:invertIfNegative val="0"/>
            <c:spPr>
              <a:solidFill>
                <a:srgbClr val="a31f34"/>
              </a:solidFill>
              <a:ln w="0">
                <a:noFill/>
              </a:ln>
            </c:spPr>
          </c:dPt>
          <c:dPt>
            <c:idx val="5"/>
            <c:invertIfNegative val="0"/>
            <c:spPr>
              <a:solidFill>
                <a:srgbClr val="a31f34"/>
              </a:solidFill>
              <a:ln w="0">
                <a:noFill/>
              </a:ln>
            </c:spPr>
          </c:dPt>
          <c:dPt>
            <c:idx val="6"/>
            <c:invertIfNegative val="0"/>
            <c:spPr>
              <a:solidFill>
                <a:srgbClr val="a31f34"/>
              </a:solidFill>
              <a:ln w="0">
                <a:noFill/>
              </a:ln>
            </c:spPr>
          </c:dPt>
          <c:dPt>
            <c:idx val="7"/>
            <c:invertIfNegative val="0"/>
            <c:spPr>
              <a:solidFill>
                <a:srgbClr val="a31f34"/>
              </a:solidFill>
              <a:ln w="0">
                <a:noFill/>
              </a:ln>
            </c:spPr>
          </c:dPt>
          <c:dPt>
            <c:idx val="8"/>
            <c:invertIfNegative val="0"/>
            <c:spPr>
              <a:solidFill>
                <a:srgbClr val="a31f34"/>
              </a:solidFill>
              <a:ln w="0">
                <a:noFill/>
              </a:ln>
            </c:spPr>
          </c:dPt>
          <c:dPt>
            <c:idx val="9"/>
            <c:invertIfNegative val="0"/>
            <c:spPr>
              <a:solidFill>
                <a:srgbClr val="a31f34"/>
              </a:solidFill>
              <a:ln w="0">
                <a:noFill/>
              </a:ln>
            </c:spPr>
          </c:dPt>
          <c:dLbls>
            <c:dLbl>
              <c:idx val="0"/>
              <c:delete val="1"/>
            </c:dLbl>
            <c:dLbl>
              <c:idx val="1"/>
              <c:layout>
                <c:manualLayout>
                  <c:x val="0"/>
                  <c:y val="-0.06"/>
                </c:manualLayout>
              </c:layout>
              <c:spPr/>
              <c:txPr>
                <a:bodyPr/>
                <a:lstStyle/>
                <a:p>
                  <a:pPr>
                    <a:defRPr sz="1000" b="1">
                      <a:solidFill>
                        <a:srgbClr val="A31F34"/>
                      </a:solidFill>
                    </a:defRPr>
                  </a:pPr>
                  <a:endParaRPr lang="en-US"/>
                </a:p>
              </c:txPr>
              <c:dLblPos val="inEnd"/>
              <c:showLegendKey val="0"/>
              <c:showVal val="0"/>
              <c:showCatName val="0"/>
              <c:showSerName val="0"/>
              <c:showPercent val="0"/>
              <c:showBubbleSize val="0"/>
              <c:separator>; </c:separator>
              <c:extLst>
                <c:ext xmlns:c15="http://schemas.microsoft.com/office/drawing/2012/chart" uri="{CE6537A1-D6FC-4f65-9D91-7224C49458BB}">
                  <c15:showDataLabelsRange val="1"/>
                </c:ext>
              </c:extLst>
            </c:dLbl>
            <c:dLbl>
              <c:idx val="2"/>
              <c:layout>
                <c:manualLayout>
                  <c:x val="0"/>
                  <c:y val="-0.06"/>
                </c:manualLayout>
              </c:layout>
              <c:spPr/>
              <c:txPr>
                <a:bodyPr/>
                <a:lstStyle/>
                <a:p>
                  <a:pPr>
                    <a:defRPr sz="1000" b="1">
                      <a:solidFill>
                        <a:srgbClr val="A31F34"/>
                      </a:solidFill>
                    </a:defRPr>
                  </a:pPr>
                  <a:endParaRPr lang="en-US"/>
                </a:p>
              </c:txPr>
              <c:dLblPos val="inEnd"/>
              <c:showLegendKey val="0"/>
              <c:showVal val="0"/>
              <c:showCatName val="0"/>
              <c:showSerName val="0"/>
              <c:showPercent val="0"/>
              <c:showBubbleSize val="0"/>
              <c:separator>; </c:separator>
              <c:extLst>
                <c:ext xmlns:c15="http://schemas.microsoft.com/office/drawing/2012/chart" uri="{CE6537A1-D6FC-4f65-9D91-7224C49458BB}">
                  <c15:showDataLabelsRange val="1"/>
                </c:ext>
              </c:extLst>
            </c:dLbl>
            <c:dLbl>
              <c:idx val="3"/>
              <c:layout>
                <c:manualLayout>
                  <c:x val="0"/>
                  <c:y val="-0.06"/>
                </c:manualLayout>
              </c:layout>
              <c:spPr/>
              <c:txPr>
                <a:bodyPr/>
                <a:lstStyle/>
                <a:p>
                  <a:pPr>
                    <a:defRPr sz="1000" b="1">
                      <a:solidFill>
                        <a:srgbClr val="A31F34"/>
                      </a:solidFill>
                    </a:defRPr>
                  </a:pPr>
                  <a:endParaRPr lang="en-US"/>
                </a:p>
              </c:txPr>
              <c:dLblPos val="inEnd"/>
              <c:showLegendKey val="0"/>
              <c:showVal val="0"/>
              <c:showCatName val="0"/>
              <c:showSerName val="0"/>
              <c:showPercent val="0"/>
              <c:showBubbleSize val="0"/>
              <c:separator>; </c:separator>
              <c:extLst>
                <c:ext xmlns:c15="http://schemas.microsoft.com/office/drawing/2012/chart" uri="{CE6537A1-D6FC-4f65-9D91-7224C49458BB}">
                  <c15:showDataLabelsRange val="1"/>
                </c:ext>
              </c:extLst>
            </c:dLbl>
            <c:dLbl>
              <c:idx val="4"/>
              <c:layout>
                <c:manualLayout>
                  <c:x val="0"/>
                  <c:y val="-0.06"/>
                </c:manualLayout>
              </c:layout>
              <c:spPr/>
              <c:txPr>
                <a:bodyPr/>
                <a:lstStyle/>
                <a:p>
                  <a:pPr>
                    <a:defRPr sz="1000" b="1">
                      <a:solidFill>
                        <a:srgbClr val="A31F34"/>
                      </a:solidFill>
                    </a:defRPr>
                  </a:pPr>
                  <a:endParaRPr lang="en-US"/>
                </a:p>
              </c:txPr>
              <c:dLblPos val="inEnd"/>
              <c:showLegendKey val="0"/>
              <c:showVal val="0"/>
              <c:showCatName val="0"/>
              <c:showSerName val="0"/>
              <c:showPercent val="0"/>
              <c:showBubbleSize val="0"/>
              <c:separator>; </c:separator>
              <c:extLst>
                <c:ext xmlns:c15="http://schemas.microsoft.com/office/drawing/2012/chart" uri="{CE6537A1-D6FC-4f65-9D91-7224C49458BB}">
                  <c15:showDataLabelsRange val="1"/>
                </c:ext>
              </c:extLst>
            </c:dLbl>
            <c:dLbl>
              <c:idx val="5"/>
              <c:layout>
                <c:manualLayout>
                  <c:x val="0"/>
                  <c:y val="-0.06"/>
                </c:manualLayout>
              </c:layout>
              <c:spPr/>
              <c:txPr>
                <a:bodyPr/>
                <a:lstStyle/>
                <a:p>
                  <a:pPr>
                    <a:defRPr sz="1000" b="1">
                      <a:solidFill>
                        <a:srgbClr val="A31F34"/>
                      </a:solidFill>
                    </a:defRPr>
                  </a:pPr>
                  <a:endParaRPr lang="en-US"/>
                </a:p>
              </c:txPr>
              <c:dLblPos val="inEnd"/>
              <c:showLegendKey val="0"/>
              <c:showVal val="0"/>
              <c:showCatName val="0"/>
              <c:showSerName val="0"/>
              <c:showPercent val="0"/>
              <c:showBubbleSize val="0"/>
              <c:separator>; </c:separator>
              <c:extLst>
                <c:ext xmlns:c15="http://schemas.microsoft.com/office/drawing/2012/chart" uri="{CE6537A1-D6FC-4f65-9D91-7224C49458BB}">
                  <c15:showDataLabelsRange val="1"/>
                </c:ext>
              </c:extLst>
            </c:dLbl>
            <c:dLbl>
              <c:idx val="6"/>
              <c:layout>
                <c:manualLayout>
                  <c:x val="0"/>
                  <c:y val="-0.06"/>
                </c:manualLayout>
              </c:layout>
              <c:spPr/>
              <c:txPr>
                <a:bodyPr/>
                <a:lstStyle/>
                <a:p>
                  <a:pPr>
                    <a:defRPr sz="1000" b="1">
                      <a:solidFill>
                        <a:srgbClr val="A31F34"/>
                      </a:solidFill>
                    </a:defRPr>
                  </a:pPr>
                  <a:endParaRPr lang="en-US"/>
                </a:p>
              </c:txPr>
              <c:dLblPos val="inEnd"/>
              <c:showLegendKey val="0"/>
              <c:showVal val="0"/>
              <c:showCatName val="0"/>
              <c:showSerName val="0"/>
              <c:showPercent val="0"/>
              <c:showBubbleSize val="0"/>
              <c:separator>; </c:separator>
              <c:extLst>
                <c:ext xmlns:c15="http://schemas.microsoft.com/office/drawing/2012/chart" uri="{CE6537A1-D6FC-4f65-9D91-7224C49458BB}">
                  <c15:showDataLabelsRange val="1"/>
                </c:ext>
              </c:extLst>
            </c:dLbl>
            <c:dLbl>
              <c:idx val="7"/>
              <c:layout>
                <c:manualLayout>
                  <c:x val="0"/>
                  <c:y val="-0.06"/>
                </c:manualLayout>
              </c:layout>
              <c:spPr/>
              <c:txPr>
                <a:bodyPr/>
                <a:lstStyle/>
                <a:p>
                  <a:pPr>
                    <a:defRPr sz="1000" b="1">
                      <a:solidFill>
                        <a:srgbClr val="A31F34"/>
                      </a:solidFill>
                    </a:defRPr>
                  </a:pPr>
                  <a:endParaRPr lang="en-US"/>
                </a:p>
              </c:txPr>
              <c:dLblPos val="inEnd"/>
              <c:showLegendKey val="0"/>
              <c:showVal val="0"/>
              <c:showCatName val="0"/>
              <c:showSerName val="0"/>
              <c:showPercent val="0"/>
              <c:showBubbleSize val="0"/>
              <c:separator>; </c:separator>
              <c:extLst>
                <c:ext xmlns:c15="http://schemas.microsoft.com/office/drawing/2012/chart" uri="{CE6537A1-D6FC-4f65-9D91-7224C49458BB}">
                  <c15:showDataLabelsRange val="1"/>
                </c:ext>
              </c:extLst>
            </c:dLbl>
            <c:dLbl>
              <c:idx val="8"/>
              <c:layout>
                <c:manualLayout>
                  <c:x val="0"/>
                  <c:y val="-0.06"/>
                </c:manualLayout>
              </c:layout>
              <c:spPr/>
              <c:txPr>
                <a:bodyPr/>
                <a:lstStyle/>
                <a:p>
                  <a:pPr>
                    <a:defRPr sz="1000" b="1">
                      <a:solidFill>
                        <a:srgbClr val="A31F34"/>
                      </a:solidFill>
                    </a:defRPr>
                  </a:pPr>
                  <a:endParaRPr lang="en-US"/>
                </a:p>
              </c:txPr>
              <c:dLblPos val="inEnd"/>
              <c:showLegendKey val="0"/>
              <c:showVal val="0"/>
              <c:showCatName val="0"/>
              <c:showSerName val="0"/>
              <c:showPercent val="0"/>
              <c:showBubbleSize val="0"/>
              <c:separator>; </c:separator>
              <c:extLst>
                <c:ext xmlns:c15="http://schemas.microsoft.com/office/drawing/2012/chart" uri="{CE6537A1-D6FC-4f65-9D91-7224C49458BB}">
                  <c15:showDataLabelsRange val="1"/>
                </c:ext>
              </c:extLst>
            </c:dLbl>
            <c:dLbl>
              <c:idx val="9"/>
              <c:layout>
                <c:manualLayout>
                  <c:x val="0"/>
                  <c:y val="-0.06"/>
                </c:manualLayout>
              </c:layout>
              <c:spPr/>
              <c:txPr>
                <a:bodyPr/>
                <a:lstStyle/>
                <a:p>
                  <a:pPr>
                    <a:defRPr sz="1000" b="1">
                      <a:solidFill>
                        <a:srgbClr val="A31F34"/>
                      </a:solidFill>
                    </a:defRPr>
                  </a:pPr>
                  <a:endParaRPr lang="en-US"/>
                </a:p>
              </c:txPr>
              <c:dLblPos val="inEnd"/>
              <c:showLegendKey val="0"/>
              <c:showVal val="0"/>
              <c:showCatName val="0"/>
              <c:showSerName val="0"/>
              <c:showPercent val="0"/>
              <c:showBubbleSize val="0"/>
              <c:separator>; </c:separator>
              <c:extLst>
                <c:ext xmlns:c15="http://schemas.microsoft.com/office/drawing/2012/chart" uri="{CE6537A1-D6FC-4f65-9D91-7224C49458BB}">
                  <c15:showDataLabelsRange val="1"/>
                </c:ext>
              </c:extLst>
            </c:dLbl>
            <c:spPr>
              <a:noFill/>
              <a:ln>
                <a:noFill/>
              </a:ln>
            </c:spPr>
            <c:txPr>
              <a:bodyPr/>
              <a:lstStyle/>
              <a:p>
                <a:pPr>
                  <a:defRPr sz="1000" b="1">
                    <a:solidFill>
                      <a:srgbClr val="A31F34"/>
                    </a:solidFill>
                  </a:defRPr>
                </a:pPr>
                <a:endParaRPr lang="en-US"/>
              </a:p>
            </c:txPr>
            <c:dLblPos val="inEnd"/>
            <c:showLegendKey val="0"/>
            <c:showVal val="0"/>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'CUZ vs Market'!$A$4:$A$13</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f>'CUZ vs Market'!$L$4:$L$13</c:f>
              <c:numCache>
                <c:formatCode>#,##0</c:formatCode>
                <c:ptCount val="10"/>
                <c:pt idx="0">
                  <c:v>260.281</c:v>
                </c:pt>
                <c:pt idx="1">
                  <c:v>313.206</c:v>
                </c:pt>
                <c:pt idx="2">
                  <c:v>326.063</c:v>
                </c:pt>
                <c:pt idx="3">
                  <c:v>431.79</c:v>
                </c:pt>
                <c:pt idx="4">
                  <c:v>486.034</c:v>
                </c:pt>
                <c:pt idx="5">
                  <c:v>493.72</c:v>
                </c:pt>
                <c:pt idx="6">
                  <c:v>502.2</c:v>
                </c:pt>
                <c:pt idx="7">
                  <c:v>531.094</c:v>
                </c:pt>
                <c:pt idx="8">
                  <c:v>570.324</c:v>
                </c:pt>
                <c:pt idx="9">
                  <c:v>673.311</c:v>
                </c:pt>
              </c:numCache>
            </c:numRef>
          </c:val>
          <c:extLst>
            <c:ext xmlns:c15="http://schemas.microsoft.com/office/drawing/2012/chart" uri="{02D57815-91ED-43cb-92C2-25804820EDAC}">
              <c15:datalabelsRange>
                <c15:f>'CUZ vs Market'!$AE$4:$AE$13</c15:f>
                <c15:dlblRangeCache>
                  <c:ptCount val="10"/>
                  <c:pt idx="1">
                    <c:v>+20%</c:v>
                  </c:pt>
                  <c:pt idx="2">
                    <c:v>+4%</c:v>
                  </c:pt>
                  <c:pt idx="3">
                    <c:v>+32%</c:v>
                  </c:pt>
                  <c:pt idx="4">
                    <c:v>+13%</c:v>
                  </c:pt>
                  <c:pt idx="5">
                    <c:v>+2%</c:v>
                  </c:pt>
                  <c:pt idx="6">
                    <c:v>+2%</c:v>
                  </c:pt>
                  <c:pt idx="7">
                    <c:v>+6%</c:v>
                  </c:pt>
                  <c:pt idx="8">
                    <c:v>+7%</c:v>
                  </c:pt>
                  <c:pt idx="9">
                    <c:v>+18%</c:v>
                  </c:pt>
                </c15:dlblRangeCache>
              </c15:datalabelsRange>
            </c:ext>
          </c:extLst>
        </c:ser>
        <c:ser>
          <c:idx val="1"/>
          <c:order val="1"/>
          <c:tx>
            <c:strRef>
              <c:f>"Stabilized TEV less NOI ($M)"</c:f>
              <c:strCache>
                <c:ptCount val="1"/>
                <c:pt idx="0">
                  <c:v>Stabilized TEV less NOI ($M)</c:v>
                </c:pt>
              </c:strCache>
            </c:strRef>
          </c:tx>
          <c:spPr>
            <a:solidFill>
              <a:srgbClr val="d9d9d9"/>
            </a:solidFill>
            <a:ln w="0">
              <a:noFill/>
            </a:ln>
          </c:spPr>
          <c:invertIfNegative val="0"/>
          <c:dLbls>
            <c:txPr>
              <a:bodyPr wrap="square"/>
              <a:lstStyle/>
              <a:p>
                <a:pPr>
                  <a:defRPr b="0" sz="1000" spc="-1" strike="noStrike">
                    <a:solidFill>
                      <a:srgbClr val="000000"/>
                    </a:solidFill>
                    <a:latin typeface="Calibri"/>
                  </a:defRPr>
                </a:pPr>
              </a:p>
            </c:txPr>
            <c:dLblPos val="ctr"/>
            <c:showLegendKey val="0"/>
            <c:showVal val="0"/>
            <c:showCatName val="0"/>
            <c:showSerName val="0"/>
            <c:showPercent val="0"/>
            <c:separator>; </c:separator>
            <c:showLeaderLines val="0"/>
            <c:extLst>
              <c:ext xmlns:c15="http://schemas.microsoft.com/office/drawing/2012/chart" uri="{CE6537A1-D6FC-4f65-9D91-7224C49458BB}">
                <c15:showLeaderLines val="0"/>
              </c:ext>
            </c:extLst>
          </c:dLbls>
          <c:cat>
            <c:strRef>
              <c:f>'CUZ vs Market'!$A$4:$A$13</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f>'CUZ vs Market'!$Q$4:$Q$13</c:f>
              <c:numCache>
                <c:formatCode>#,##0</c:formatCode>
                <c:ptCount val="10"/>
                <c:pt idx="0">
                  <c:v>4521.85896</c:v>
                </c:pt>
                <c:pt idx="1">
                  <c:v>4564.57175</c:v>
                </c:pt>
                <c:pt idx="2">
                  <c:v>4099.3971</c:v>
                </c:pt>
                <c:pt idx="3">
                  <c:v>7548.9642</c:v>
                </c:pt>
                <c:pt idx="4">
                  <c:v>6278.6155</c:v>
                </c:pt>
                <c:pt idx="5">
                  <c:v>7295.00564</c:v>
                </c:pt>
                <c:pt idx="6">
                  <c:v>5336.29178</c:v>
                </c:pt>
                <c:pt idx="7">
                  <c:v>5259.6974</c:v>
                </c:pt>
                <c:pt idx="8">
                  <c:v>7283.3554</c:v>
                </c:pt>
                <c:pt idx="9">
                  <c:v>6717.61746</c:v>
                </c:pt>
              </c:numCache>
            </c:numRef>
          </c:val>
        </c:ser>
        <c:gapWidth val="150"/>
        <c:overlap val="100"/>
        <c:axId val="79627852"/>
        <c:axId val="23065515"/>
      </c:barChart>
      <c:lineChart>
        <c:grouping val="stacked"/>
        <c:varyColors val="0"/>
        <c:ser>
          <c:idx val="2"/>
          <c:order val="2"/>
          <c:tx>
            <c:strRef>
              <c:f>"Gross NOI Multiple (right)"</c:f>
              <c:strCache>
                <c:ptCount val="1"/>
                <c:pt idx="0">
                  <c:v>Gross NOI Multiple (right)</c:v>
                </c:pt>
              </c:strCache>
            </c:strRef>
          </c:tx>
          <c:spPr>
            <a:solidFill>
              <a:srgbClr val="1f3b57"/>
            </a:solidFill>
            <a:ln w="28440">
              <a:solidFill>
                <a:srgbClr val="1f3b57"/>
              </a:solidFill>
              <a:round/>
            </a:ln>
          </c:spPr>
          <c:marker>
            <c:symbol val="circle"/>
            <c:size val="5"/>
            <c:spPr>
              <a:solidFill>
                <a:srgbClr val="1f3b57"/>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0"/>
            <c:extLst>
              <c:ext xmlns:c15="http://schemas.microsoft.com/office/drawing/2012/chart" uri="{CE6537A1-D6FC-4f65-9D91-7224C49458BB}">
                <c15:showLeaderLines val="0"/>
              </c:ext>
            </c:extLst>
          </c:dLbls>
          <c:cat>
            <c:strRef>
              <c:f>'CUZ vs Market'!$A$4:$A$13</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f>'CUZ vs Market'!$J$4:$J$13</c:f>
              <c:numCache>
                <c:formatCode>0.0\x</c:formatCode>
                <c:ptCount val="10"/>
                <c:pt idx="0">
                  <c:v>18.3729890387696</c:v>
                </c:pt>
                <c:pt idx="1">
                  <c:v>15.5737046863725</c:v>
                </c:pt>
                <c:pt idx="2">
                  <c:v>13.5724080929146</c:v>
                </c:pt>
                <c:pt idx="3">
                  <c:v>18.4829528242896</c:v>
                </c:pt>
                <c:pt idx="4">
                  <c:v>13.9180582016896</c:v>
                </c:pt>
                <c:pt idx="5">
                  <c:v>15.7755927246212</c:v>
                </c:pt>
                <c:pt idx="6">
                  <c:v>11.625829908403</c:v>
                </c:pt>
                <c:pt idx="7">
                  <c:v>10.9035150086425</c:v>
                </c:pt>
                <c:pt idx="8">
                  <c:v>13.7705574375267</c:v>
                </c:pt>
                <c:pt idx="9">
                  <c:v>10.9769905140418</c:v>
                </c:pt>
              </c:numCache>
            </c:numRef>
          </c:val>
          <c:smooth val="0"/>
        </c:ser>
        <c:hiLowLines>
          <c:spPr>
            <a:ln w="0">
              <a:noFill/>
            </a:ln>
          </c:spPr>
        </c:hiLowLines>
        <c:marker val="1"/>
        <c:axId val="93917747"/>
        <c:axId val="66062791"/>
      </c:lineChart>
      <c:catAx>
        <c:axId val="79627852"/>
        <c:scaling>
          <c:orientation val="minMax"/>
        </c:scaling>
        <c:delete val="0"/>
        <c:axPos val="b"/>
        <c:numFmt formatCode="General" sourceLinked="0"/>
        <c:majorTickMark val="none"/>
        <c:minorTickMark val="none"/>
        <c:tickLblPos val="low"/>
        <c:spPr>
          <a:ln w="0">
            <a:solidFill>
              <a:srgbClr val="b3b3b3"/>
            </a:solidFill>
          </a:ln>
        </c:spPr>
        <c:txPr>
          <a:bodyPr/>
          <a:lstStyle/>
          <a:p>
            <a:pPr>
              <a:defRPr b="0" sz="1000" spc="-1" strike="noStrike">
                <a:solidFill>
                  <a:srgbClr val="000000"/>
                </a:solidFill>
                <a:latin typeface="Calibri"/>
              </a:defRPr>
            </a:pPr>
          </a:p>
        </c:txPr>
        <c:crossAx val="23065515"/>
        <c:crosses val="autoZero"/>
        <c:auto val="1"/>
        <c:lblAlgn val="ctr"/>
        <c:lblOffset val="100"/>
        <c:noMultiLvlLbl val="0"/>
      </c:catAx>
      <c:valAx>
        <c:axId val="23065515"/>
        <c:scaling>
          <c:orientation val="minMax"/>
          <c:min val="0"/>
        </c:scaling>
        <c:delete val="0"/>
        <c:axPos val="l"/>
        <c:majorGridlines>
          <c:spPr>
            <a:ln w="0">
              <a:solidFill>
                <a:srgbClr val="b3b3b3"/>
              </a:solidFill>
            </a:ln>
          </c:spPr>
        </c:majorGridlines>
        <c:numFmt formatCode="#,##0"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79627852"/>
        <c:crosses val="autoZero"/>
        <c:crossBetween val="between"/>
      </c:valAx>
      <c:catAx>
        <c:axId val="93917747"/>
        <c:scaling>
          <c:orientation val="minMax"/>
        </c:scaling>
        <c:delete val="1"/>
        <c:axPos val="t"/>
        <c:numFmt formatCode="General" sourceLinked="1"/>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66062791"/>
        <c:auto val="1"/>
        <c:lblAlgn val="ctr"/>
        <c:lblOffset val="100"/>
        <c:noMultiLvlLbl val="0"/>
      </c:catAx>
      <c:valAx>
        <c:axId val="66062791"/>
        <c:scaling>
          <c:orientation val="minMax"/>
        </c:scaling>
        <c:delete val="0"/>
        <c:axPos val="r"/>
        <c:numFmt formatCode="0.0\x"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93917747"/>
        <c:crosses val="max"/>
        <c:crossBetween val="between"/>
      </c:valAx>
      <c:spPr>
        <a:noFill/>
        <a:ln w="0">
          <a:noFill/>
        </a:ln>
      </c:spPr>
    </c:plotArea>
    <c:legend>
      <c:legendPos val="b"/>
      <c:overlay val="0"/>
      <c:spPr>
        <a:noFill/>
        <a:ln w="0">
          <a:noFill/>
        </a:ln>
      </c:spPr>
      <c:txPr>
        <a:bodyPr/>
        <a:lstStyle/>
        <a:p>
          <a:pPr>
            <a:defRPr b="0" sz="1000" spc="-1" strike="noStrike">
              <a:solidFill>
                <a:srgbClr val="000000"/>
              </a:solidFill>
              <a:latin typeface="Calibri"/>
            </a:defRPr>
          </a:pPr>
        </a:p>
      </c:txPr>
    </c:legend>
    <c:plotVisOnly val="1"/>
    <c:dispBlanksAs val="gap"/>
  </c:chart>
  <c:spPr>
    <a:solidFill>
      <a:srgbClr val="ffffff"/>
    </a:solidFill>
    <a:ln w="9360">
      <a:solidFill>
        <a:srgbClr val="d9d9d9"/>
      </a:solidFill>
      <a:round/>
    </a:ln>
  </c:spPr>
</c:chartSpace>
</file>

<file path=xl/charts/chart2.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lang="en-US" sz="1200" spc="-1" strike="noStrike">
                <a:solidFill>
                  <a:srgbClr val="000000"/>
                </a:solidFill>
                <a:latin typeface="Calibri"/>
              </a:defRPr>
            </a:pPr>
            <a:r>
              <a:rPr b="1" lang="en-US" sz="1200" spc="-1" strike="noStrike">
                <a:solidFill>
                  <a:srgbClr val="000000"/>
                </a:solidFill>
                <a:latin typeface="Calibri"/>
              </a:rPr>
              <a:t>Inflation and the Cost of Debt: CPI vs. Prime Rate (2016-2025)
2022: CPI averaged 8.0% while the prime rate averaged 4.9%; the prime rate followed to 8.3% by 2023.</a:t>
            </a:r>
          </a:p>
        </c:rich>
      </c:tx>
      <c:overlay val="0"/>
      <c:spPr>
        <a:noFill/>
        <a:ln w="0">
          <a:noFill/>
        </a:ln>
      </c:spPr>
    </c:title>
    <c:autoTitleDeleted val="0"/>
    <c:plotArea>
      <c:layout>
        <c:manualLayout>
          <c:layoutTarget val="inner"/>
          <c:xMode val="edge"/>
          <c:yMode val="edge"/>
          <c:x val="0.100072876639724"/>
          <c:y val="0.160271228232393"/>
          <c:w val="0.799092354577978"/>
          <c:h val="0.619355832948066"/>
        </c:manualLayout>
      </c:layout>
      <c:scatterChart>
        <c:scatterStyle val="lineMarker"/>
        <c:varyColors val="0"/>
        <c:ser>
          <c:idx val="0"/>
          <c:order val="0"/>
          <c:tx>
            <c:strRef>
              <c:f>"Bank Prime Loan Rate"</c:f>
              <c:strCache>
                <c:ptCount val="1"/>
                <c:pt idx="0">
                  <c:v>Bank Prime Loan Rate</c:v>
                </c:pt>
              </c:strCache>
            </c:strRef>
          </c:tx>
          <c:spPr>
            <a:solidFill>
              <a:srgbClr val="8a8a8a"/>
            </a:solidFill>
            <a:ln w="28440">
              <a:solidFill>
                <a:srgbClr val="8a8a8a"/>
              </a:solidFill>
              <a:round/>
            </a:ln>
          </c:spPr>
          <c:marker>
            <c:symbol val="triangle"/>
            <c:size val="5"/>
            <c:spPr>
              <a:solidFill>
                <a:srgbClr val="8a8a8a"/>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0"/>
            <c:extLst>
              <c:ext xmlns:c15="http://schemas.microsoft.com/office/drawing/2012/chart" uri="{CE6537A1-D6FC-4f65-9D91-7224C49458BB}">
                <c15:showLeaderLines val="0"/>
              </c:ext>
            </c:extLst>
          </c:dLbls>
          <c:xVal>
            <c:numRef>
              <c:f>'BXP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'BXP vs Market'!$P$4:$P$13</c:f>
              <c:numCache>
                <c:formatCode>0.00%</c:formatCode>
                <c:ptCount val="10"/>
                <c:pt idx="0">
                  <c:v>0.0351</c:v>
                </c:pt>
                <c:pt idx="1">
                  <c:v>0.041</c:v>
                </c:pt>
                <c:pt idx="2">
                  <c:v>0.049</c:v>
                </c:pt>
                <c:pt idx="3">
                  <c:v>0.0528</c:v>
                </c:pt>
                <c:pt idx="4">
                  <c:v>0.0354</c:v>
                </c:pt>
                <c:pt idx="5">
                  <c:v>0.0325</c:v>
                </c:pt>
                <c:pt idx="6">
                  <c:v>0.0485</c:v>
                </c:pt>
                <c:pt idx="7">
                  <c:v>0.0819</c:v>
                </c:pt>
                <c:pt idx="8">
                  <c:v>0.0831</c:v>
                </c:pt>
                <c:pt idx="9">
                  <c:v>0.0737</c:v>
                </c:pt>
              </c:numCache>
            </c:numRef>
          </c:yVal>
          <c:smooth val="0"/>
        </c:ser>
        <c:ser>
          <c:idx val="1"/>
          <c:order val="1"/>
          <c:tx>
            <c:strRef>
              <c:f>"CPI Inflation (annual avg, YoY)"</c:f>
              <c:strCache>
                <c:ptCount val="1"/>
                <c:pt idx="0">
                  <c:v>CPI Inflation (annual avg, YoY)</c:v>
                </c:pt>
              </c:strCache>
            </c:strRef>
          </c:tx>
          <c:spPr>
            <a:solidFill>
              <a:srgbClr val="c08a00"/>
            </a:solidFill>
            <a:ln w="28440">
              <a:solidFill>
                <a:srgbClr val="c08a00"/>
              </a:solidFill>
              <a:round/>
            </a:ln>
          </c:spPr>
          <c:marker>
            <c:symbol val="diamond"/>
            <c:size val="5"/>
            <c:spPr>
              <a:solidFill>
                <a:srgbClr val="c08a00"/>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0"/>
            <c:extLst>
              <c:ext xmlns:c15="http://schemas.microsoft.com/office/drawing/2012/chart" uri="{CE6537A1-D6FC-4f65-9D91-7224C49458BB}">
                <c15:showLeaderLines val="0"/>
              </c:ext>
            </c:extLst>
          </c:dLbls>
          <c:xVal>
            <c:numRef>
              <c:f>'BXP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'BXP vs Market'!$S$4:$S$13</c:f>
              <c:numCache>
                <c:formatCode>0.0%</c:formatCode>
                <c:ptCount val="10"/>
                <c:pt idx="0">
                  <c:v>0.0126707791495431</c:v>
                </c:pt>
                <c:pt idx="1">
                  <c:v>0.0213162225786963</c:v>
                </c:pt>
                <c:pt idx="2">
                  <c:v>0.0243920349541655</c:v>
                </c:pt>
                <c:pt idx="3">
                  <c:v>0.0181322182397452</c:v>
                </c:pt>
                <c:pt idx="4">
                  <c:v>0.0125287010127009</c:v>
                </c:pt>
                <c:pt idx="5">
                  <c:v>0.0468098093148315</c:v>
                </c:pt>
                <c:pt idx="6">
                  <c:v>0.0799083303502561</c:v>
                </c:pt>
                <c:pt idx="7">
                  <c:v>0.0412711105643382</c:v>
                </c:pt>
                <c:pt idx="8">
                  <c:v>0.0295205495187116</c:v>
                </c:pt>
                <c:pt idx="9">
                  <c:v>0.0263438083762091</c:v>
                </c:pt>
              </c:numCache>
            </c:numRef>
          </c:yVal>
          <c:smooth val="0"/>
        </c:ser>
        <c:axId val="99822652"/>
        <c:axId val="51389946"/>
      </c:scatterChart>
      <c:valAx>
        <c:axId val="99822652"/>
        <c:scaling>
          <c:orientation val="minMax"/>
        </c:scaling>
        <c:delete val="0"/>
        <c:axPos val="b"/>
        <c:numFmt formatCode="0" sourceLinked="0"/>
        <c:majorTickMark val="none"/>
        <c:minorTickMark val="none"/>
        <c:tickLblPos val="low"/>
        <c:spPr>
          <a:ln w="0">
            <a:solidFill>
              <a:srgbClr val="b3b3b3"/>
            </a:solidFill>
          </a:ln>
        </c:spPr>
        <c:txPr>
          <a:bodyPr/>
          <a:lstStyle/>
          <a:p>
            <a:pPr>
              <a:defRPr b="0" sz="1000" spc="-1" strike="noStrike">
                <a:solidFill>
                  <a:srgbClr val="000000"/>
                </a:solidFill>
                <a:latin typeface="Calibri"/>
              </a:defRPr>
            </a:pPr>
          </a:p>
        </c:txPr>
        <c:crossAx val="51389946"/>
        <c:crosses val="autoZero"/>
        <c:crossBetween val="midCat"/>
        <c:majorUnit val="1"/>
      </c:valAx>
      <c:valAx>
        <c:axId val="51389946"/>
        <c:scaling>
          <c:orientation val="minMax"/>
        </c:scaling>
        <c:delete val="0"/>
        <c:axPos val="l"/>
        <c:majorGridlines>
          <c:spPr>
            <a:ln w="0">
              <a:solidFill>
                <a:srgbClr val="b3b3b3"/>
              </a:solidFill>
            </a:ln>
          </c:spPr>
        </c:majorGridlines>
        <c:numFmt formatCode="0.0%"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99822652"/>
        <c:crosses val="autoZero"/>
        <c:crossBetween val="midCat"/>
      </c:valAx>
      <c:spPr>
        <a:noFill/>
        <a:ln w="0">
          <a:noFill/>
        </a:ln>
      </c:spPr>
    </c:plotArea>
    <c:legend>
      <c:legendPos val="b"/>
      <c:overlay val="0"/>
      <c:spPr>
        <a:noFill/>
        <a:ln w="0">
          <a:noFill/>
        </a:ln>
      </c:spPr>
      <c:txPr>
        <a:bodyPr/>
        <a:lstStyle/>
        <a:p>
          <a:pPr>
            <a:defRPr b="0" sz="1000" spc="-1" strike="noStrike">
              <a:solidFill>
                <a:srgbClr val="000000"/>
              </a:solidFill>
              <a:latin typeface="Calibri"/>
            </a:defRPr>
          </a:pPr>
        </a:p>
      </c:txPr>
    </c:legend>
    <c:plotVisOnly val="1"/>
    <c:dispBlanksAs val="gap"/>
  </c:chart>
  <c:spPr>
    <a:solidFill>
      <a:srgbClr val="ffffff"/>
    </a:solidFill>
    <a:ln w="9360">
      <a:solidFill>
        <a:srgbClr val="d9d9d9"/>
      </a:solidFill>
      <a:round/>
    </a:ln>
  </c:spPr>
</c:chartSpace>
</file>

<file path=xl/charts/chart20.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lang="en-US" sz="1200" spc="-1" strike="noStrike">
                <a:solidFill>
                  <a:srgbClr val="000000"/>
                </a:solidFill>
                <a:latin typeface="Calibri"/>
              </a:defRPr>
            </a:pPr>
            <a:r>
              <a:rPr b="1" lang="en-US" sz="1200" spc="-1" strike="noStrike">
                <a:solidFill>
                  <a:srgbClr val="000000"/>
                </a:solidFill>
                <a:latin typeface="Calibri"/>
              </a:rPr>
              <a:t>Leveraged Cash Flow (labeled YoY growth) and Stabilized Market Cap: Leveraged NOI Multiple (2016-2025)</a:t>
            </a:r>
          </a:p>
        </c:rich>
      </c:tx>
      <c:overlay val="0"/>
      <c:spPr>
        <a:noFill/>
        <a:ln w="0">
          <a:noFill/>
        </a:ln>
      </c:spPr>
    </c:title>
    <c:autoTitleDeleted val="0"/>
    <c:plotArea>
      <c:layout>
        <c:manualLayout>
          <c:layoutTarget val="inner"/>
          <c:xMode val="edge"/>
          <c:yMode val="edge"/>
          <c:x val="0.0900357758049556"/>
          <c:y val="0.200339035290492"/>
          <c:w val="0.819000927520869"/>
          <c:h val="0.559254122360918"/>
        </c:manualLayout>
      </c:layout>
      <c:barChart>
        <c:barDir val="col"/>
        <c:grouping val="stacked"/>
        <c:varyColors val="0"/>
        <c:ser>
          <c:idx val="0"/>
          <c:order val="0"/>
          <c:tx>
            <c:strRef>
              <c:f>"Leveraged Property Cash Flow ($M)"</c:f>
              <c:strCache>
                <c:ptCount val="1"/>
                <c:pt idx="0">
                  <c:v>Leveraged Property Cash Flow ($M)</c:v>
                </c:pt>
              </c:strCache>
            </c:strRef>
          </c:tx>
          <c:spPr>
            <a:solidFill>
              <a:srgbClr val="a31f34"/>
            </a:solidFill>
            <a:ln w="0">
              <a:noFill/>
            </a:ln>
          </c:spPr>
          <c:invertIfNegative val="0"/>
          <c:dPt>
            <c:idx val="1"/>
            <c:invertIfNegative val="0"/>
            <c:spPr>
              <a:solidFill>
                <a:srgbClr val="a31f34"/>
              </a:solidFill>
              <a:ln w="0">
                <a:noFill/>
              </a:ln>
            </c:spPr>
          </c:dPt>
          <c:dPt>
            <c:idx val="2"/>
            <c:invertIfNegative val="0"/>
            <c:spPr>
              <a:solidFill>
                <a:srgbClr val="a31f34"/>
              </a:solidFill>
              <a:ln w="0">
                <a:noFill/>
              </a:ln>
            </c:spPr>
          </c:dPt>
          <c:dPt>
            <c:idx val="3"/>
            <c:invertIfNegative val="0"/>
            <c:spPr>
              <a:solidFill>
                <a:srgbClr val="a31f34"/>
              </a:solidFill>
              <a:ln w="0">
                <a:noFill/>
              </a:ln>
            </c:spPr>
          </c:dPt>
          <c:dPt>
            <c:idx val="4"/>
            <c:invertIfNegative val="0"/>
            <c:spPr>
              <a:solidFill>
                <a:srgbClr val="a31f34"/>
              </a:solidFill>
              <a:ln w="0">
                <a:noFill/>
              </a:ln>
            </c:spPr>
          </c:dPt>
          <c:dPt>
            <c:idx val="5"/>
            <c:invertIfNegative val="0"/>
            <c:spPr>
              <a:solidFill>
                <a:srgbClr val="a31f34"/>
              </a:solidFill>
              <a:ln w="0">
                <a:noFill/>
              </a:ln>
            </c:spPr>
          </c:dPt>
          <c:dPt>
            <c:idx val="6"/>
            <c:invertIfNegative val="0"/>
            <c:spPr>
              <a:solidFill>
                <a:srgbClr val="a31f34"/>
              </a:solidFill>
              <a:ln w="0">
                <a:noFill/>
              </a:ln>
            </c:spPr>
          </c:dPt>
          <c:dPt>
            <c:idx val="7"/>
            <c:invertIfNegative val="0"/>
            <c:spPr>
              <a:solidFill>
                <a:srgbClr val="a31f34"/>
              </a:solidFill>
              <a:ln w="0">
                <a:noFill/>
              </a:ln>
            </c:spPr>
          </c:dPt>
          <c:dPt>
            <c:idx val="8"/>
            <c:invertIfNegative val="0"/>
            <c:spPr>
              <a:solidFill>
                <a:srgbClr val="a31f34"/>
              </a:solidFill>
              <a:ln w="0">
                <a:noFill/>
              </a:ln>
            </c:spPr>
          </c:dPt>
          <c:dPt>
            <c:idx val="9"/>
            <c:invertIfNegative val="0"/>
            <c:spPr>
              <a:solidFill>
                <a:srgbClr val="a31f34"/>
              </a:solidFill>
              <a:ln w="0">
                <a:noFill/>
              </a:ln>
            </c:spPr>
          </c:dPt>
          <c:dLbls>
            <c:dLbl>
              <c:idx val="0"/>
              <c:delete val="1"/>
            </c:dLbl>
            <c:dLbl>
              <c:idx val="1"/>
              <c:layout>
                <c:manualLayout>
                  <c:x val="0"/>
                  <c:y val="-0.06"/>
                </c:manualLayout>
              </c:layout>
              <c:spPr/>
              <c:txPr>
                <a:bodyPr/>
                <a:lstStyle/>
                <a:p>
                  <a:pPr>
                    <a:defRPr sz="1000" b="1">
                      <a:solidFill>
                        <a:srgbClr val="A31F34"/>
                      </a:solidFill>
                    </a:defRPr>
                  </a:pPr>
                  <a:endParaRPr lang="en-US"/>
                </a:p>
              </c:txPr>
              <c:dLblPos val="inEnd"/>
              <c:showLegendKey val="0"/>
              <c:showVal val="0"/>
              <c:showCatName val="0"/>
              <c:showSerName val="0"/>
              <c:showPercent val="0"/>
              <c:showBubbleSize val="0"/>
              <c:separator>; </c:separator>
              <c:extLst>
                <c:ext xmlns:c15="http://schemas.microsoft.com/office/drawing/2012/chart" uri="{CE6537A1-D6FC-4f65-9D91-7224C49458BB}">
                  <c15:showDataLabelsRange val="1"/>
                </c:ext>
              </c:extLst>
            </c:dLbl>
            <c:dLbl>
              <c:idx val="2"/>
              <c:layout>
                <c:manualLayout>
                  <c:x val="0"/>
                  <c:y val="-0.06"/>
                </c:manualLayout>
              </c:layout>
              <c:spPr/>
              <c:txPr>
                <a:bodyPr/>
                <a:lstStyle/>
                <a:p>
                  <a:pPr>
                    <a:defRPr sz="1000" b="1">
                      <a:solidFill>
                        <a:srgbClr val="A31F34"/>
                      </a:solidFill>
                    </a:defRPr>
                  </a:pPr>
                  <a:endParaRPr lang="en-US"/>
                </a:p>
              </c:txPr>
              <c:dLblPos val="inEnd"/>
              <c:showLegendKey val="0"/>
              <c:showVal val="0"/>
              <c:showCatName val="0"/>
              <c:showSerName val="0"/>
              <c:showPercent val="0"/>
              <c:showBubbleSize val="0"/>
              <c:separator>; </c:separator>
              <c:extLst>
                <c:ext xmlns:c15="http://schemas.microsoft.com/office/drawing/2012/chart" uri="{CE6537A1-D6FC-4f65-9D91-7224C49458BB}">
                  <c15:showDataLabelsRange val="1"/>
                </c:ext>
              </c:extLst>
            </c:dLbl>
            <c:dLbl>
              <c:idx val="3"/>
              <c:layout>
                <c:manualLayout>
                  <c:x val="0"/>
                  <c:y val="-0.06"/>
                </c:manualLayout>
              </c:layout>
              <c:spPr/>
              <c:txPr>
                <a:bodyPr/>
                <a:lstStyle/>
                <a:p>
                  <a:pPr>
                    <a:defRPr sz="1000" b="1">
                      <a:solidFill>
                        <a:srgbClr val="A31F34"/>
                      </a:solidFill>
                    </a:defRPr>
                  </a:pPr>
                  <a:endParaRPr lang="en-US"/>
                </a:p>
              </c:txPr>
              <c:dLblPos val="inEnd"/>
              <c:showLegendKey val="0"/>
              <c:showVal val="0"/>
              <c:showCatName val="0"/>
              <c:showSerName val="0"/>
              <c:showPercent val="0"/>
              <c:showBubbleSize val="0"/>
              <c:separator>; </c:separator>
              <c:extLst>
                <c:ext xmlns:c15="http://schemas.microsoft.com/office/drawing/2012/chart" uri="{CE6537A1-D6FC-4f65-9D91-7224C49458BB}">
                  <c15:showDataLabelsRange val="1"/>
                </c:ext>
              </c:extLst>
            </c:dLbl>
            <c:dLbl>
              <c:idx val="4"/>
              <c:layout>
                <c:manualLayout>
                  <c:x val="0"/>
                  <c:y val="-0.06"/>
                </c:manualLayout>
              </c:layout>
              <c:spPr/>
              <c:txPr>
                <a:bodyPr/>
                <a:lstStyle/>
                <a:p>
                  <a:pPr>
                    <a:defRPr sz="1000" b="1">
                      <a:solidFill>
                        <a:srgbClr val="A31F34"/>
                      </a:solidFill>
                    </a:defRPr>
                  </a:pPr>
                  <a:endParaRPr lang="en-US"/>
                </a:p>
              </c:txPr>
              <c:dLblPos val="inEnd"/>
              <c:showLegendKey val="0"/>
              <c:showVal val="0"/>
              <c:showCatName val="0"/>
              <c:showSerName val="0"/>
              <c:showPercent val="0"/>
              <c:showBubbleSize val="0"/>
              <c:separator>; </c:separator>
              <c:extLst>
                <c:ext xmlns:c15="http://schemas.microsoft.com/office/drawing/2012/chart" uri="{CE6537A1-D6FC-4f65-9D91-7224C49458BB}">
                  <c15:showDataLabelsRange val="1"/>
                </c:ext>
              </c:extLst>
            </c:dLbl>
            <c:dLbl>
              <c:idx val="5"/>
              <c:layout>
                <c:manualLayout>
                  <c:x val="0"/>
                  <c:y val="-0.06"/>
                </c:manualLayout>
              </c:layout>
              <c:spPr/>
              <c:txPr>
                <a:bodyPr/>
                <a:lstStyle/>
                <a:p>
                  <a:pPr>
                    <a:defRPr sz="1000" b="1">
                      <a:solidFill>
                        <a:srgbClr val="A31F34"/>
                      </a:solidFill>
                    </a:defRPr>
                  </a:pPr>
                  <a:endParaRPr lang="en-US"/>
                </a:p>
              </c:txPr>
              <c:dLblPos val="inEnd"/>
              <c:showLegendKey val="0"/>
              <c:showVal val="0"/>
              <c:showCatName val="0"/>
              <c:showSerName val="0"/>
              <c:showPercent val="0"/>
              <c:showBubbleSize val="0"/>
              <c:separator>; </c:separator>
              <c:extLst>
                <c:ext xmlns:c15="http://schemas.microsoft.com/office/drawing/2012/chart" uri="{CE6537A1-D6FC-4f65-9D91-7224C49458BB}">
                  <c15:showDataLabelsRange val="1"/>
                </c:ext>
              </c:extLst>
            </c:dLbl>
            <c:dLbl>
              <c:idx val="6"/>
              <c:layout>
                <c:manualLayout>
                  <c:x val="0"/>
                  <c:y val="-0.06"/>
                </c:manualLayout>
              </c:layout>
              <c:spPr/>
              <c:txPr>
                <a:bodyPr/>
                <a:lstStyle/>
                <a:p>
                  <a:pPr>
                    <a:defRPr sz="1000" b="1">
                      <a:solidFill>
                        <a:srgbClr val="A31F34"/>
                      </a:solidFill>
                    </a:defRPr>
                  </a:pPr>
                  <a:endParaRPr lang="en-US"/>
                </a:p>
              </c:txPr>
              <c:dLblPos val="inEnd"/>
              <c:showLegendKey val="0"/>
              <c:showVal val="0"/>
              <c:showCatName val="0"/>
              <c:showSerName val="0"/>
              <c:showPercent val="0"/>
              <c:showBubbleSize val="0"/>
              <c:separator>; </c:separator>
              <c:extLst>
                <c:ext xmlns:c15="http://schemas.microsoft.com/office/drawing/2012/chart" uri="{CE6537A1-D6FC-4f65-9D91-7224C49458BB}">
                  <c15:showDataLabelsRange val="1"/>
                </c:ext>
              </c:extLst>
            </c:dLbl>
            <c:dLbl>
              <c:idx val="7"/>
              <c:layout>
                <c:manualLayout>
                  <c:x val="0"/>
                  <c:y val="-0.06"/>
                </c:manualLayout>
              </c:layout>
              <c:spPr/>
              <c:txPr>
                <a:bodyPr/>
                <a:lstStyle/>
                <a:p>
                  <a:pPr>
                    <a:defRPr sz="1000" b="1">
                      <a:solidFill>
                        <a:srgbClr val="A31F34"/>
                      </a:solidFill>
                    </a:defRPr>
                  </a:pPr>
                  <a:endParaRPr lang="en-US"/>
                </a:p>
              </c:txPr>
              <c:dLblPos val="inEnd"/>
              <c:showLegendKey val="0"/>
              <c:showVal val="0"/>
              <c:showCatName val="0"/>
              <c:showSerName val="0"/>
              <c:showPercent val="0"/>
              <c:showBubbleSize val="0"/>
              <c:separator>; </c:separator>
              <c:extLst>
                <c:ext xmlns:c15="http://schemas.microsoft.com/office/drawing/2012/chart" uri="{CE6537A1-D6FC-4f65-9D91-7224C49458BB}">
                  <c15:showDataLabelsRange val="1"/>
                </c:ext>
              </c:extLst>
            </c:dLbl>
            <c:dLbl>
              <c:idx val="8"/>
              <c:layout>
                <c:manualLayout>
                  <c:x val="0"/>
                  <c:y val="-0.06"/>
                </c:manualLayout>
              </c:layout>
              <c:spPr/>
              <c:txPr>
                <a:bodyPr/>
                <a:lstStyle/>
                <a:p>
                  <a:pPr>
                    <a:defRPr sz="1000" b="1">
                      <a:solidFill>
                        <a:srgbClr val="A31F34"/>
                      </a:solidFill>
                    </a:defRPr>
                  </a:pPr>
                  <a:endParaRPr lang="en-US"/>
                </a:p>
              </c:txPr>
              <c:dLblPos val="inEnd"/>
              <c:showLegendKey val="0"/>
              <c:showVal val="0"/>
              <c:showCatName val="0"/>
              <c:showSerName val="0"/>
              <c:showPercent val="0"/>
              <c:showBubbleSize val="0"/>
              <c:separator>; </c:separator>
              <c:extLst>
                <c:ext xmlns:c15="http://schemas.microsoft.com/office/drawing/2012/chart" uri="{CE6537A1-D6FC-4f65-9D91-7224C49458BB}">
                  <c15:showDataLabelsRange val="1"/>
                </c:ext>
              </c:extLst>
            </c:dLbl>
            <c:dLbl>
              <c:idx val="9"/>
              <c:layout>
                <c:manualLayout>
                  <c:x val="0"/>
                  <c:y val="-0.06"/>
                </c:manualLayout>
              </c:layout>
              <c:spPr/>
              <c:txPr>
                <a:bodyPr/>
                <a:lstStyle/>
                <a:p>
                  <a:pPr>
                    <a:defRPr sz="1000" b="1">
                      <a:solidFill>
                        <a:srgbClr val="A31F34"/>
                      </a:solidFill>
                    </a:defRPr>
                  </a:pPr>
                  <a:endParaRPr lang="en-US"/>
                </a:p>
              </c:txPr>
              <c:dLblPos val="inEnd"/>
              <c:showLegendKey val="0"/>
              <c:showVal val="0"/>
              <c:showCatName val="0"/>
              <c:showSerName val="0"/>
              <c:showPercent val="0"/>
              <c:showBubbleSize val="0"/>
              <c:separator>; </c:separator>
              <c:extLst>
                <c:ext xmlns:c15="http://schemas.microsoft.com/office/drawing/2012/chart" uri="{CE6537A1-D6FC-4f65-9D91-7224C49458BB}">
                  <c15:showDataLabelsRange val="1"/>
                </c:ext>
              </c:extLst>
            </c:dLbl>
            <c:spPr>
              <a:noFill/>
              <a:ln>
                <a:noFill/>
              </a:ln>
            </c:spPr>
            <c:txPr>
              <a:bodyPr/>
              <a:lstStyle/>
              <a:p>
                <a:pPr>
                  <a:defRPr sz="1000" b="1">
                    <a:solidFill>
                      <a:srgbClr val="A31F34"/>
                    </a:solidFill>
                  </a:defRPr>
                </a:pPr>
                <a:endParaRPr lang="en-US"/>
              </a:p>
            </c:txPr>
            <c:dLblPos val="inEnd"/>
            <c:showLegendKey val="0"/>
            <c:showVal val="0"/>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'CUZ vs Market'!$A$4:$A$13</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f>'CUZ vs Market'!$N$4:$N$13</c:f>
              <c:numCache>
                <c:formatCode>#,##0</c:formatCode>
                <c:ptCount val="10"/>
                <c:pt idx="0">
                  <c:v>219.186</c:v>
                </c:pt>
                <c:pt idx="1">
                  <c:v>271.824</c:v>
                </c:pt>
                <c:pt idx="2">
                  <c:v>280.177</c:v>
                </c:pt>
                <c:pt idx="3">
                  <c:v>372.089</c:v>
                </c:pt>
                <c:pt idx="4">
                  <c:v>423.358</c:v>
                </c:pt>
                <c:pt idx="5">
                  <c:v>423.783</c:v>
                </c:pt>
                <c:pt idx="6">
                  <c:v>427.06</c:v>
                </c:pt>
                <c:pt idx="7">
                  <c:v>423.955</c:v>
                </c:pt>
                <c:pt idx="8">
                  <c:v>443.364</c:v>
                </c:pt>
                <c:pt idx="9">
                  <c:v>504.362</c:v>
                </c:pt>
              </c:numCache>
            </c:numRef>
          </c:val>
          <c:extLst>
            <c:ext xmlns:c15="http://schemas.microsoft.com/office/drawing/2012/chart" uri="{02D57815-91ED-43cb-92C2-25804820EDAC}">
              <c15:datalabelsRange>
                <c15:f>'CUZ vs Market'!$AF$4:$AF$13</c15:f>
                <c15:dlblRangeCache>
                  <c:ptCount val="10"/>
                  <c:pt idx="1">
                    <c:v>+24%</c:v>
                  </c:pt>
                  <c:pt idx="2">
                    <c:v>+3%</c:v>
                  </c:pt>
                  <c:pt idx="3">
                    <c:v>+33%</c:v>
                  </c:pt>
                  <c:pt idx="4">
                    <c:v>+14%</c:v>
                  </c:pt>
                  <c:pt idx="5">
                    <c:v>+0%</c:v>
                  </c:pt>
                  <c:pt idx="6">
                    <c:v>+1%</c:v>
                  </c:pt>
                  <c:pt idx="7">
                    <c:v>-1%</c:v>
                  </c:pt>
                  <c:pt idx="8">
                    <c:v>+5%</c:v>
                  </c:pt>
                  <c:pt idx="9">
                    <c:v>+14%</c:v>
                  </c:pt>
                </c15:dlblRangeCache>
              </c15:datalabelsRange>
            </c:ext>
          </c:extLst>
        </c:ser>
        <c:ser>
          <c:idx val="1"/>
          <c:order val="1"/>
          <c:tx>
            <c:strRef>
              <c:f>"Stabilized Market Cap less Leveraged CF ($M)"</c:f>
              <c:strCache>
                <c:ptCount val="1"/>
                <c:pt idx="0">
                  <c:v>Stabilized Market Cap less Leveraged CF ($M)</c:v>
                </c:pt>
              </c:strCache>
            </c:strRef>
          </c:tx>
          <c:spPr>
            <a:solidFill>
              <a:srgbClr val="d9d9d9"/>
            </a:solidFill>
            <a:ln w="0">
              <a:noFill/>
            </a:ln>
          </c:spPr>
          <c:invertIfNegative val="0"/>
          <c:dLbls>
            <c:txPr>
              <a:bodyPr wrap="square"/>
              <a:lstStyle/>
              <a:p>
                <a:pPr>
                  <a:defRPr b="0" sz="1000" spc="-1" strike="noStrike">
                    <a:solidFill>
                      <a:srgbClr val="000000"/>
                    </a:solidFill>
                    <a:latin typeface="Calibri"/>
                  </a:defRPr>
                </a:pPr>
              </a:p>
            </c:txPr>
            <c:dLblPos val="ctr"/>
            <c:showLegendKey val="0"/>
            <c:showVal val="0"/>
            <c:showCatName val="0"/>
            <c:showSerName val="0"/>
            <c:showPercent val="0"/>
            <c:separator>; </c:separator>
            <c:showLeaderLines val="0"/>
            <c:extLst>
              <c:ext xmlns:c15="http://schemas.microsoft.com/office/drawing/2012/chart" uri="{CE6537A1-D6FC-4f65-9D91-7224C49458BB}">
                <c15:showLeaderLines val="0"/>
              </c:ext>
            </c:extLst>
          </c:dLbls>
          <c:cat>
            <c:strRef>
              <c:f>'CUZ vs Market'!$A$4:$A$13</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f>'CUZ vs Market'!$R$4:$R$13</c:f>
              <c:numCache>
                <c:formatCode>#,##0</c:formatCode>
                <c:ptCount val="10"/>
                <c:pt idx="0">
                  <c:v>2930.68396</c:v>
                </c:pt>
                <c:pt idx="1">
                  <c:v>3343.43075</c:v>
                </c:pt>
                <c:pt idx="2">
                  <c:v>2911.2671</c:v>
                </c:pt>
                <c:pt idx="3">
                  <c:v>5303.1712</c:v>
                </c:pt>
                <c:pt idx="4">
                  <c:v>4063.5335</c:v>
                </c:pt>
                <c:pt idx="5">
                  <c:v>5014.62864</c:v>
                </c:pt>
                <c:pt idx="6">
                  <c:v>2987.42778</c:v>
                </c:pt>
                <c:pt idx="7">
                  <c:v>2758.1614</c:v>
                </c:pt>
                <c:pt idx="8">
                  <c:v>4135.9274</c:v>
                </c:pt>
                <c:pt idx="9">
                  <c:v>3379.54646</c:v>
                </c:pt>
              </c:numCache>
            </c:numRef>
          </c:val>
        </c:ser>
        <c:gapWidth val="150"/>
        <c:overlap val="100"/>
        <c:axId val="89187515"/>
        <c:axId val="17942780"/>
      </c:barChart>
      <c:lineChart>
        <c:grouping val="stacked"/>
        <c:varyColors val="0"/>
        <c:ser>
          <c:idx val="2"/>
          <c:order val="2"/>
          <c:tx>
            <c:strRef>
              <c:f>"Leveraged NOI Multiple (right)"</c:f>
              <c:strCache>
                <c:ptCount val="1"/>
                <c:pt idx="0">
                  <c:v>Leveraged NOI Multiple (right)</c:v>
                </c:pt>
              </c:strCache>
            </c:strRef>
          </c:tx>
          <c:spPr>
            <a:solidFill>
              <a:srgbClr val="1f3b57"/>
            </a:solidFill>
            <a:ln w="28440">
              <a:solidFill>
                <a:srgbClr val="1f3b57"/>
              </a:solidFill>
              <a:round/>
            </a:ln>
          </c:spPr>
          <c:marker>
            <c:symbol val="circle"/>
            <c:size val="5"/>
            <c:spPr>
              <a:solidFill>
                <a:srgbClr val="1f3b57"/>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0"/>
            <c:extLst>
              <c:ext xmlns:c15="http://schemas.microsoft.com/office/drawing/2012/chart" uri="{CE6537A1-D6FC-4f65-9D91-7224C49458BB}">
                <c15:showLeaderLines val="0"/>
              </c:ext>
            </c:extLst>
          </c:dLbls>
          <c:cat>
            <c:strRef>
              <c:f>'CUZ vs Market'!$A$4:$A$13</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f>'CUZ vs Market'!$K$4:$K$13</c:f>
              <c:numCache>
                <c:formatCode>0.0\x</c:formatCode>
                <c:ptCount val="10"/>
                <c:pt idx="0">
                  <c:v>14.3707625487029</c:v>
                </c:pt>
                <c:pt idx="1">
                  <c:v>13.299983629113</c:v>
                </c:pt>
                <c:pt idx="2">
                  <c:v>11.3908140211366</c:v>
                </c:pt>
                <c:pt idx="3">
                  <c:v>15.2524267043637</c:v>
                </c:pt>
                <c:pt idx="4">
                  <c:v>10.5983387582141</c:v>
                </c:pt>
                <c:pt idx="5">
                  <c:v>12.833010385032</c:v>
                </c:pt>
                <c:pt idx="6">
                  <c:v>7.99533503488971</c:v>
                </c:pt>
                <c:pt idx="7">
                  <c:v>7.50578811430459</c:v>
                </c:pt>
                <c:pt idx="8">
                  <c:v>10.328514268186</c:v>
                </c:pt>
                <c:pt idx="9">
                  <c:v>7.70063656659304</c:v>
                </c:pt>
              </c:numCache>
            </c:numRef>
          </c:val>
          <c:smooth val="0"/>
        </c:ser>
        <c:hiLowLines>
          <c:spPr>
            <a:ln w="0">
              <a:noFill/>
            </a:ln>
          </c:spPr>
        </c:hiLowLines>
        <c:marker val="1"/>
        <c:axId val="39981427"/>
        <c:axId val="99087759"/>
      </c:lineChart>
      <c:catAx>
        <c:axId val="89187515"/>
        <c:scaling>
          <c:orientation val="minMax"/>
        </c:scaling>
        <c:delete val="0"/>
        <c:axPos val="b"/>
        <c:numFmt formatCode="General" sourceLinked="0"/>
        <c:majorTickMark val="none"/>
        <c:minorTickMark val="none"/>
        <c:tickLblPos val="low"/>
        <c:spPr>
          <a:ln w="0">
            <a:solidFill>
              <a:srgbClr val="b3b3b3"/>
            </a:solidFill>
          </a:ln>
        </c:spPr>
        <c:txPr>
          <a:bodyPr/>
          <a:lstStyle/>
          <a:p>
            <a:pPr>
              <a:defRPr b="0" sz="1000" spc="-1" strike="noStrike">
                <a:solidFill>
                  <a:srgbClr val="000000"/>
                </a:solidFill>
                <a:latin typeface="Calibri"/>
              </a:defRPr>
            </a:pPr>
          </a:p>
        </c:txPr>
        <c:crossAx val="17942780"/>
        <c:crosses val="autoZero"/>
        <c:auto val="1"/>
        <c:lblAlgn val="ctr"/>
        <c:lblOffset val="100"/>
        <c:noMultiLvlLbl val="0"/>
      </c:catAx>
      <c:valAx>
        <c:axId val="17942780"/>
        <c:scaling>
          <c:orientation val="minMax"/>
          <c:min val="0"/>
        </c:scaling>
        <c:delete val="0"/>
        <c:axPos val="l"/>
        <c:majorGridlines>
          <c:spPr>
            <a:ln w="0">
              <a:solidFill>
                <a:srgbClr val="b3b3b3"/>
              </a:solidFill>
            </a:ln>
          </c:spPr>
        </c:majorGridlines>
        <c:numFmt formatCode="#,##0"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89187515"/>
        <c:crosses val="autoZero"/>
        <c:crossBetween val="between"/>
      </c:valAx>
      <c:catAx>
        <c:axId val="39981427"/>
        <c:scaling>
          <c:orientation val="minMax"/>
        </c:scaling>
        <c:delete val="1"/>
        <c:axPos val="t"/>
        <c:numFmt formatCode="General" sourceLinked="1"/>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99087759"/>
        <c:auto val="1"/>
        <c:lblAlgn val="ctr"/>
        <c:lblOffset val="100"/>
        <c:noMultiLvlLbl val="0"/>
      </c:catAx>
      <c:valAx>
        <c:axId val="99087759"/>
        <c:scaling>
          <c:orientation val="minMax"/>
        </c:scaling>
        <c:delete val="0"/>
        <c:axPos val="r"/>
        <c:numFmt formatCode="0.0\x"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39981427"/>
        <c:crosses val="max"/>
        <c:crossBetween val="between"/>
      </c:valAx>
      <c:spPr>
        <a:noFill/>
        <a:ln w="0">
          <a:noFill/>
        </a:ln>
      </c:spPr>
    </c:plotArea>
    <c:legend>
      <c:legendPos val="b"/>
      <c:overlay val="0"/>
      <c:spPr>
        <a:noFill/>
        <a:ln w="0">
          <a:noFill/>
        </a:ln>
      </c:spPr>
      <c:txPr>
        <a:bodyPr/>
        <a:lstStyle/>
        <a:p>
          <a:pPr>
            <a:defRPr b="0" sz="1000" spc="-1" strike="noStrike">
              <a:solidFill>
                <a:srgbClr val="000000"/>
              </a:solidFill>
              <a:latin typeface="Calibri"/>
            </a:defRPr>
          </a:pPr>
        </a:p>
      </c:txPr>
    </c:legend>
    <c:plotVisOnly val="1"/>
    <c:dispBlanksAs val="gap"/>
  </c:chart>
  <c:spPr>
    <a:solidFill>
      <a:srgbClr val="ffffff"/>
    </a:solidFill>
    <a:ln w="9360">
      <a:solidFill>
        <a:srgbClr val="d9d9d9"/>
      </a:solidFill>
      <a:round/>
    </a:ln>
  </c:spPr>
</c:chartSpace>
</file>

<file path=xl/charts/chart21.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lang="en-US" sz="1200" spc="-1" strike="noStrike">
                <a:solidFill>
                  <a:srgbClr val="000000"/>
                </a:solidFill>
                <a:latin typeface="Calibri"/>
              </a:defRPr>
            </a:pPr>
            <a:r>
              <a:rPr b="1" lang="en-US" sz="1200" spc="-1" strike="noStrike">
                <a:solidFill>
                  <a:srgbClr val="000000"/>
                </a:solidFill>
                <a:latin typeface="Calibri"/>
              </a:rPr>
              <a:t>CUZ Implied Cap Rate vs. Private Office Cap Rates (2016-2025)</a:t>
            </a:r>
          </a:p>
        </c:rich>
      </c:tx>
      <c:overlay val="0"/>
      <c:spPr>
        <a:noFill/>
        <a:ln w="0">
          <a:noFill/>
        </a:ln>
      </c:spPr>
    </c:title>
    <c:autoTitleDeleted val="0"/>
    <c:plotArea>
      <c:layout>
        <c:manualLayout>
          <c:layoutTarget val="inner"/>
          <c:xMode val="edge"/>
          <c:yMode val="edge"/>
          <c:x val="0.100106002385054"/>
          <c:y val="0.160271228232393"/>
          <c:w val="0.798959851596661"/>
          <c:h val="0.619355832948066"/>
        </c:manualLayout>
      </c:layout>
      <c:scatterChart>
        <c:scatterStyle val="lineMarker"/>
        <c:varyColors val="0"/>
        <c:ser>
          <c:idx val="0"/>
          <c:order val="0"/>
          <c:tx>
            <c:strRef>
              <c:f>"CUZ Implied Cap Rate (public pricing, year-end)"</c:f>
              <c:strCache>
                <c:ptCount val="1"/>
                <c:pt idx="0">
                  <c:v>CUZ Implied Cap Rate (public pricing, year-end)</c:v>
                </c:pt>
              </c:strCache>
            </c:strRef>
          </c:tx>
          <c:spPr>
            <a:solidFill>
              <a:srgbClr val="a31f34"/>
            </a:solidFill>
            <a:ln w="28440">
              <a:solidFill>
                <a:srgbClr val="a31f34"/>
              </a:solidFill>
              <a:round/>
            </a:ln>
          </c:spPr>
          <c:marker>
            <c:symbol val="circle"/>
            <c:size val="5"/>
            <c:spPr>
              <a:solidFill>
                <a:srgbClr val="a31f34"/>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0"/>
            <c:extLst>
              <c:ext xmlns:c15="http://schemas.microsoft.com/office/drawing/2012/chart" uri="{CE6537A1-D6FC-4f65-9D91-7224C49458BB}">
                <c15:showLeaderLines val="0"/>
              </c:ext>
            </c:extLst>
          </c:dLbls>
          <c:xVal>
            <c:numRef>
              <c:f>'CUZ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'CUZ vs Market'!$B$4:$B$13</c:f>
              <c:numCache>
                <c:formatCode>0.00%</c:formatCode>
                <c:ptCount val="10"/>
                <c:pt idx="0">
                  <c:v>0.0544277252813822</c:v>
                </c:pt>
                <c:pt idx="1">
                  <c:v>0.06421079763218</c:v>
                </c:pt>
                <c:pt idx="2">
                  <c:v>0.0736788927325319</c:v>
                </c:pt>
                <c:pt idx="3">
                  <c:v>0.054103909126784</c:v>
                </c:pt>
                <c:pt idx="4">
                  <c:v>0.0718491031944818</c:v>
                </c:pt>
                <c:pt idx="5">
                  <c:v>0.0633890603957646</c:v>
                </c:pt>
                <c:pt idx="6">
                  <c:v>0.0860153647420225</c:v>
                </c:pt>
                <c:pt idx="7">
                  <c:v>0.0917135436790211</c:v>
                </c:pt>
                <c:pt idx="8">
                  <c:v>0.0726187014967787</c:v>
                </c:pt>
                <c:pt idx="9">
                  <c:v>0.0910996505572995</c:v>
                </c:pt>
              </c:numCache>
            </c:numRef>
          </c:yVal>
          <c:smooth val="0"/>
        </c:ser>
        <c:ser>
          <c:idx val="1"/>
          <c:order val="1"/>
          <c:tx>
            <c:strRef>
              <c:f>"Green Street Nominal Cap Rate, 51-Market Wtd Avg (4Q)"</c:f>
              <c:strCache>
                <c:ptCount val="1"/>
                <c:pt idx="0">
                  <c:v>Green Street Nominal Cap Rate, 51-Market Wtd Avg (4Q)</c:v>
                </c:pt>
              </c:strCache>
            </c:strRef>
          </c:tx>
          <c:spPr>
            <a:solidFill>
              <a:srgbClr val="1f3b57"/>
            </a:solidFill>
            <a:ln w="28440">
              <a:solidFill>
                <a:srgbClr val="1f3b57"/>
              </a:solidFill>
              <a:round/>
            </a:ln>
          </c:spPr>
          <c:marker>
            <c:symbol val="square"/>
            <c:size val="5"/>
            <c:spPr>
              <a:solidFill>
                <a:srgbClr val="1f3b57"/>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0"/>
            <c:extLst>
              <c:ext xmlns:c15="http://schemas.microsoft.com/office/drawing/2012/chart" uri="{CE6537A1-D6FC-4f65-9D91-7224C49458BB}">
                <c15:showLeaderLines val="0"/>
              </c:ext>
            </c:extLst>
          </c:dLbls>
          <c:xVal>
            <c:numRef>
              <c:f>'CUZ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'CUZ vs Market'!$T$4:$T$13</c:f>
              <c:numCache>
                <c:formatCode>0.00%</c:formatCode>
                <c:ptCount val="10"/>
                <c:pt idx="0">
                  <c:v>0.05658714</c:v>
                </c:pt>
                <c:pt idx="1">
                  <c:v>0.05803697</c:v>
                </c:pt>
                <c:pt idx="2">
                  <c:v>0.0583128</c:v>
                </c:pt>
                <c:pt idx="3">
                  <c:v>0.05915908</c:v>
                </c:pt>
                <c:pt idx="4">
                  <c:v>0.06399001</c:v>
                </c:pt>
                <c:pt idx="5">
                  <c:v>0.06497242</c:v>
                </c:pt>
                <c:pt idx="6">
                  <c:v>0.07948753</c:v>
                </c:pt>
                <c:pt idx="7">
                  <c:v>0.10690485</c:v>
                </c:pt>
                <c:pt idx="8">
                  <c:v>0.10737802</c:v>
                </c:pt>
                <c:pt idx="9">
                  <c:v>0.1048993</c:v>
                </c:pt>
              </c:numCache>
            </c:numRef>
          </c:yVal>
          <c:smooth val="0"/>
        </c:ser>
        <c:ser>
          <c:idx val="2"/>
          <c:order val="2"/>
          <c:tx>
            <c:strRef>
              <c:f>"10-Yr UST Yield"</c:f>
              <c:strCache>
                <c:ptCount val="1"/>
                <c:pt idx="0">
                  <c:v>10-Yr UST Yield</c:v>
                </c:pt>
              </c:strCache>
            </c:strRef>
          </c:tx>
          <c:spPr>
            <a:solidFill>
              <a:srgbClr val="8a8a8a"/>
            </a:solidFill>
            <a:ln w="28440">
              <a:solidFill>
                <a:srgbClr val="8a8a8a"/>
              </a:solidFill>
              <a:prstDash val="sysDot"/>
              <a:round/>
            </a:ln>
          </c:spPr>
          <c:marker>
            <c:symbol val="dash"/>
            <c:size val="4"/>
            <c:spPr>
              <a:solidFill>
                <a:srgbClr val="8a8a8a"/>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0"/>
            <c:extLst>
              <c:ext xmlns:c15="http://schemas.microsoft.com/office/drawing/2012/chart" uri="{CE6537A1-D6FC-4f65-9D91-7224C49458BB}">
                <c15:showLeaderLines val="0"/>
              </c:ext>
            </c:extLst>
          </c:dLbls>
          <c:xVal>
            <c:numRef>
              <c:f>'CUZ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'CUZ vs Market'!$C$4:$C$13</c:f>
              <c:numCache>
                <c:formatCode>0.00%</c:formatCode>
                <c:ptCount val="10"/>
                <c:pt idx="0">
                  <c:v>0.0245</c:v>
                </c:pt>
                <c:pt idx="1">
                  <c:v>0.024</c:v>
                </c:pt>
                <c:pt idx="2">
                  <c:v>0.0269</c:v>
                </c:pt>
                <c:pt idx="3">
                  <c:v>0.0192</c:v>
                </c:pt>
                <c:pt idx="4">
                  <c:v>0.0093</c:v>
                </c:pt>
                <c:pt idx="5">
                  <c:v>0.0152</c:v>
                </c:pt>
                <c:pt idx="6">
                  <c:v>0.0388</c:v>
                </c:pt>
                <c:pt idx="7">
                  <c:v>0.0388</c:v>
                </c:pt>
                <c:pt idx="8">
                  <c:v>0.0458</c:v>
                </c:pt>
                <c:pt idx="9">
                  <c:v>0.0418</c:v>
                </c:pt>
              </c:numCache>
            </c:numRef>
          </c:yVal>
          <c:smooth val="0"/>
        </c:ser>
        <c:axId val="85431627"/>
        <c:axId val="33273297"/>
      </c:scatterChart>
      <c:valAx>
        <c:axId val="85431627"/>
        <c:scaling>
          <c:orientation val="minMax"/>
        </c:scaling>
        <c:delete val="0"/>
        <c:axPos val="b"/>
        <c:numFmt formatCode="0" sourceLinked="0"/>
        <c:majorTickMark val="none"/>
        <c:minorTickMark val="none"/>
        <c:tickLblPos val="low"/>
        <c:spPr>
          <a:ln w="0">
            <a:solidFill>
              <a:srgbClr val="b3b3b3"/>
            </a:solidFill>
          </a:ln>
        </c:spPr>
        <c:txPr>
          <a:bodyPr/>
          <a:lstStyle/>
          <a:p>
            <a:pPr>
              <a:defRPr b="0" sz="1000" spc="-1" strike="noStrike">
                <a:solidFill>
                  <a:srgbClr val="000000"/>
                </a:solidFill>
                <a:latin typeface="Calibri"/>
              </a:defRPr>
            </a:pPr>
          </a:p>
        </c:txPr>
        <c:crossAx val="33273297"/>
        <c:crosses val="autoZero"/>
        <c:crossBetween val="midCat"/>
        <c:majorUnit val="1"/>
      </c:valAx>
      <c:valAx>
        <c:axId val="33273297"/>
        <c:scaling>
          <c:orientation val="minMax"/>
        </c:scaling>
        <c:delete val="0"/>
        <c:axPos val="l"/>
        <c:majorGridlines>
          <c:spPr>
            <a:ln w="0">
              <a:solidFill>
                <a:srgbClr val="b3b3b3"/>
              </a:solidFill>
            </a:ln>
          </c:spPr>
        </c:majorGridlines>
        <c:numFmt formatCode="0.0%"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85431627"/>
        <c:crosses val="autoZero"/>
        <c:crossBetween val="midCat"/>
      </c:valAx>
      <c:spPr>
        <a:noFill/>
        <a:ln w="0">
          <a:noFill/>
        </a:ln>
      </c:spPr>
    </c:plotArea>
    <c:legend>
      <c:legendPos val="b"/>
      <c:overlay val="0"/>
      <c:spPr>
        <a:noFill/>
        <a:ln w="0">
          <a:noFill/>
        </a:ln>
      </c:spPr>
      <c:txPr>
        <a:bodyPr/>
        <a:lstStyle/>
        <a:p>
          <a:pPr>
            <a:defRPr b="0" sz="1000" spc="-1" strike="noStrike">
              <a:solidFill>
                <a:srgbClr val="000000"/>
              </a:solidFill>
              <a:latin typeface="Calibri"/>
            </a:defRPr>
          </a:pPr>
        </a:p>
      </c:txPr>
    </c:legend>
    <c:plotVisOnly val="1"/>
    <c:dispBlanksAs val="gap"/>
  </c:chart>
  <c:spPr>
    <a:solidFill>
      <a:srgbClr val="ffffff"/>
    </a:solidFill>
    <a:ln w="9360">
      <a:solidFill>
        <a:srgbClr val="d9d9d9"/>
      </a:solidFill>
      <a:round/>
    </a:ln>
  </c:spPr>
</c:chartSpace>
</file>

<file path=xl/charts/chart22.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lang="en-US" sz="1200" spc="-1" strike="noStrike">
                <a:solidFill>
                  <a:srgbClr val="000000"/>
                </a:solidFill>
                <a:latin typeface="Calibri"/>
              </a:defRPr>
            </a:pPr>
            <a:r>
              <a:rPr b="1" lang="en-US" sz="1200" spc="-1" strike="noStrike">
                <a:solidFill>
                  <a:srgbClr val="000000"/>
                </a:solidFill>
                <a:latin typeface="Calibri"/>
              </a:rPr>
              <a:t>Office Values vs. Construction Costs vs. CPI, Indexed to 2016 (2016-2025)</a:t>
            </a:r>
          </a:p>
        </c:rich>
      </c:tx>
      <c:overlay val="0"/>
      <c:spPr>
        <a:noFill/>
        <a:ln w="0">
          <a:noFill/>
        </a:ln>
      </c:spPr>
    </c:title>
    <c:autoTitleDeleted val="0"/>
    <c:plotArea>
      <c:layout>
        <c:manualLayout>
          <c:layoutTarget val="inner"/>
          <c:xMode val="edge"/>
          <c:yMode val="edge"/>
          <c:x val="0.100106002385054"/>
          <c:y val="0.160271228232393"/>
          <c:w val="0.798959851596661"/>
          <c:h val="0.619355832948066"/>
        </c:manualLayout>
      </c:layout>
      <c:scatterChart>
        <c:scatterStyle val="lineMarker"/>
        <c:varyColors val="0"/>
        <c:ser>
          <c:idx val="0"/>
          <c:order val="0"/>
          <c:tx>
            <c:strRef>
              <c:f>"Office Property Values (Green Street CPPI)"</c:f>
              <c:strCache>
                <c:ptCount val="1"/>
                <c:pt idx="0">
                  <c:v>Office Property Values (Green Street CPPI)</c:v>
                </c:pt>
              </c:strCache>
            </c:strRef>
          </c:tx>
          <c:spPr>
            <a:solidFill>
              <a:srgbClr val="a31f34"/>
            </a:solidFill>
            <a:ln w="28440">
              <a:solidFill>
                <a:srgbClr val="a31f34"/>
              </a:solidFill>
              <a:round/>
            </a:ln>
          </c:spPr>
          <c:marker>
            <c:symbol val="circle"/>
            <c:size val="5"/>
            <c:spPr>
              <a:solidFill>
                <a:srgbClr val="a31f34"/>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0"/>
            <c:extLst>
              <c:ext xmlns:c15="http://schemas.microsoft.com/office/drawing/2012/chart" uri="{CE6537A1-D6FC-4f65-9D91-7224C49458BB}">
                <c15:showLeaderLines val="0"/>
              </c:ext>
            </c:extLst>
          </c:dLbls>
          <c:xVal>
            <c:numRef>
              <c:f>'CUZ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'CUZ vs Market'!$U$4:$U$13</c:f>
              <c:numCache>
                <c:formatCode>#,##0</c:formatCode>
                <c:ptCount val="10"/>
                <c:pt idx="0">
                  <c:v>100</c:v>
                </c:pt>
                <c:pt idx="1">
                  <c:v>102.414193258894</c:v>
                </c:pt>
                <c:pt idx="2">
                  <c:v>102.121786086096</c:v>
                </c:pt>
                <c:pt idx="3">
                  <c:v>104.704183104862</c:v>
                </c:pt>
                <c:pt idx="4">
                  <c:v>97.1388418279712</c:v>
                </c:pt>
                <c:pt idx="5">
                  <c:v>96.7262233029072</c:v>
                </c:pt>
                <c:pt idx="6">
                  <c:v>75.3039532955945</c:v>
                </c:pt>
                <c:pt idx="7">
                  <c:v>44.7050530590909</c:v>
                </c:pt>
                <c:pt idx="8">
                  <c:v>43.6731644078836</c:v>
                </c:pt>
                <c:pt idx="9">
                  <c:v>44.169712307612</c:v>
                </c:pt>
              </c:numCache>
            </c:numRef>
          </c:yVal>
          <c:smooth val="0"/>
        </c:ser>
        <c:ser>
          <c:idx val="1"/>
          <c:order val="1"/>
          <c:tx>
            <c:strRef>
              <c:f>"Non-Residential Construction Costs (PPI)"</c:f>
              <c:strCache>
                <c:ptCount val="1"/>
                <c:pt idx="0">
                  <c:v>Non-Residential Construction Costs (PPI)</c:v>
                </c:pt>
              </c:strCache>
            </c:strRef>
          </c:tx>
          <c:spPr>
            <a:solidFill>
              <a:srgbClr val="1f3b57"/>
            </a:solidFill>
            <a:ln w="28440">
              <a:solidFill>
                <a:srgbClr val="1f3b57"/>
              </a:solidFill>
              <a:round/>
            </a:ln>
          </c:spPr>
          <c:marker>
            <c:symbol val="square"/>
            <c:size val="5"/>
            <c:spPr>
              <a:solidFill>
                <a:srgbClr val="1f3b57"/>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0"/>
            <c:extLst>
              <c:ext xmlns:c15="http://schemas.microsoft.com/office/drawing/2012/chart" uri="{CE6537A1-D6FC-4f65-9D91-7224C49458BB}">
                <c15:showLeaderLines val="0"/>
              </c:ext>
            </c:extLst>
          </c:dLbls>
          <c:xVal>
            <c:numRef>
              <c:f>'CUZ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'CUZ vs Market'!$V$4:$V$13</c:f>
              <c:numCache>
                <c:formatCode>#,##0</c:formatCode>
                <c:ptCount val="10"/>
                <c:pt idx="0">
                  <c:v>100</c:v>
                </c:pt>
                <c:pt idx="1">
                  <c:v>102.196167016261</c:v>
                </c:pt>
                <c:pt idx="2">
                  <c:v>106.491690421126</c:v>
                </c:pt>
                <c:pt idx="3">
                  <c:v>111.952526936661</c:v>
                </c:pt>
                <c:pt idx="4">
                  <c:v>114.716111798347</c:v>
                </c:pt>
                <c:pt idx="5">
                  <c:v>120.671758188566</c:v>
                </c:pt>
                <c:pt idx="6">
                  <c:v>144.713064056365</c:v>
                </c:pt>
                <c:pt idx="7">
                  <c:v>156.117893831012</c:v>
                </c:pt>
                <c:pt idx="8">
                  <c:v>156.281037666505</c:v>
                </c:pt>
                <c:pt idx="9">
                  <c:v>158.821420247764</c:v>
                </c:pt>
              </c:numCache>
            </c:numRef>
          </c:yVal>
          <c:smooth val="0"/>
        </c:ser>
        <c:ser>
          <c:idx val="2"/>
          <c:order val="2"/>
          <c:tx>
            <c:strRef>
              <c:f>"CPI (All Urban Consumers)"</c:f>
              <c:strCache>
                <c:ptCount val="1"/>
                <c:pt idx="0">
                  <c:v>CPI (All Urban Consumers)</c:v>
                </c:pt>
              </c:strCache>
            </c:strRef>
          </c:tx>
          <c:spPr>
            <a:solidFill>
              <a:srgbClr val="8a8a8a"/>
            </a:solidFill>
            <a:ln w="28440">
              <a:solidFill>
                <a:srgbClr val="8a8a8a"/>
              </a:solidFill>
              <a:prstDash val="dash"/>
              <a:round/>
            </a:ln>
          </c:spPr>
          <c:marker>
            <c:symbol val="dash"/>
            <c:size val="4"/>
            <c:spPr>
              <a:solidFill>
                <a:srgbClr val="8a8a8a"/>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0"/>
            <c:extLst>
              <c:ext xmlns:c15="http://schemas.microsoft.com/office/drawing/2012/chart" uri="{CE6537A1-D6FC-4f65-9D91-7224C49458BB}">
                <c15:showLeaderLines val="0"/>
              </c:ext>
            </c:extLst>
          </c:dLbls>
          <c:xVal>
            <c:numRef>
              <c:f>'CUZ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'CUZ vs Market'!$W$4:$W$13</c:f>
              <c:numCache>
                <c:formatCode>#,##0</c:formatCode>
                <c:ptCount val="10"/>
                <c:pt idx="0">
                  <c:v>100</c:v>
                </c:pt>
                <c:pt idx="1">
                  <c:v>102.13162225787</c:v>
                </c:pt>
                <c:pt idx="2">
                  <c:v>104.622820357909</c:v>
                </c:pt>
                <c:pt idx="3">
                  <c:v>106.519864169497</c:v>
                </c:pt>
                <c:pt idx="4">
                  <c:v>107.85441969959</c:v>
                </c:pt>
                <c:pt idx="5">
                  <c:v>112.903064519489</c:v>
                </c:pt>
                <c:pt idx="6">
                  <c:v>121.924959896669</c:v>
                </c:pt>
                <c:pt idx="7">
                  <c:v>126.956938397117</c:v>
                </c:pt>
                <c:pt idx="8">
                  <c:v>130.704776983813</c:v>
                </c:pt>
                <c:pt idx="9">
                  <c:v>134.14803858253</c:v>
                </c:pt>
              </c:numCache>
            </c:numRef>
          </c:yVal>
          <c:smooth val="0"/>
        </c:ser>
        <c:axId val="29283664"/>
        <c:axId val="96725264"/>
      </c:scatterChart>
      <c:valAx>
        <c:axId val="29283664"/>
        <c:scaling>
          <c:orientation val="minMax"/>
        </c:scaling>
        <c:delete val="0"/>
        <c:axPos val="b"/>
        <c:numFmt formatCode="0" sourceLinked="0"/>
        <c:majorTickMark val="none"/>
        <c:minorTickMark val="none"/>
        <c:tickLblPos val="low"/>
        <c:spPr>
          <a:ln w="0">
            <a:solidFill>
              <a:srgbClr val="b3b3b3"/>
            </a:solidFill>
          </a:ln>
        </c:spPr>
        <c:txPr>
          <a:bodyPr/>
          <a:lstStyle/>
          <a:p>
            <a:pPr>
              <a:defRPr b="0" sz="1000" spc="-1" strike="noStrike">
                <a:solidFill>
                  <a:srgbClr val="000000"/>
                </a:solidFill>
                <a:latin typeface="Calibri"/>
              </a:defRPr>
            </a:pPr>
          </a:p>
        </c:txPr>
        <c:crossAx val="96725264"/>
        <c:crosses val="autoZero"/>
        <c:crossBetween val="midCat"/>
        <c:majorUnit val="1"/>
      </c:valAx>
      <c:valAx>
        <c:axId val="96725264"/>
        <c:scaling>
          <c:orientation val="minMax"/>
        </c:scaling>
        <c:delete val="0"/>
        <c:axPos val="l"/>
        <c:majorGridlines>
          <c:spPr>
            <a:ln w="0">
              <a:solidFill>
                <a:srgbClr val="b3b3b3"/>
              </a:solidFill>
            </a:ln>
          </c:spPr>
        </c:majorGridlines>
        <c:numFmt formatCode="0"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29283664"/>
        <c:crosses val="autoZero"/>
        <c:crossBetween val="midCat"/>
      </c:valAx>
      <c:spPr>
        <a:noFill/>
        <a:ln w="0">
          <a:noFill/>
        </a:ln>
      </c:spPr>
    </c:plotArea>
    <c:legend>
      <c:legendPos val="b"/>
      <c:overlay val="0"/>
      <c:spPr>
        <a:noFill/>
        <a:ln w="0">
          <a:noFill/>
        </a:ln>
      </c:spPr>
      <c:txPr>
        <a:bodyPr/>
        <a:lstStyle/>
        <a:p>
          <a:pPr>
            <a:defRPr b="0" sz="1000" spc="-1" strike="noStrike">
              <a:solidFill>
                <a:srgbClr val="000000"/>
              </a:solidFill>
              <a:latin typeface="Calibri"/>
            </a:defRPr>
          </a:pPr>
        </a:p>
      </c:txPr>
    </c:legend>
    <c:plotVisOnly val="1"/>
    <c:dispBlanksAs val="gap"/>
  </c:chart>
  <c:spPr>
    <a:solidFill>
      <a:srgbClr val="ffffff"/>
    </a:solidFill>
    <a:ln w="9360">
      <a:solidFill>
        <a:srgbClr val="d9d9d9"/>
      </a:solidFill>
      <a:round/>
    </a:ln>
  </c:spPr>
</c:chartSpace>
</file>

<file path=xl/charts/chart23.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lang="en-US" sz="1200" spc="-1" strike="noStrike">
                <a:solidFill>
                  <a:srgbClr val="000000"/>
                </a:solidFill>
                <a:latin typeface="Calibri"/>
              </a:defRPr>
            </a:pPr>
            <a:r>
              <a:rPr b="1" lang="en-US" sz="1200" spc="-1" strike="noStrike">
                <a:solidFill>
                  <a:srgbClr val="000000"/>
                </a:solidFill>
                <a:latin typeface="Calibri"/>
              </a:rPr>
              <a:t>Market Asking Rent and Occupancy (2016-2025)
Left axis: CoStar market asking rent, $/SF. Right axis: occupancy (100% less vacancy).</a:t>
            </a:r>
          </a:p>
        </c:rich>
      </c:tx>
      <c:overlay val="0"/>
      <c:spPr>
        <a:noFill/>
        <a:ln w="0">
          <a:noFill/>
        </a:ln>
      </c:spPr>
    </c:title>
    <c:autoTitleDeleted val="0"/>
    <c:plotArea>
      <c:layout>
        <c:manualLayout>
          <c:layoutTarget val="inner"/>
          <c:xMode val="edge"/>
          <c:yMode val="edge"/>
          <c:x val="0.100106002385054"/>
          <c:y val="0.160271228232393"/>
          <c:w val="0.798959851596661"/>
          <c:h val="0.619355832948066"/>
        </c:manualLayout>
      </c:layout>
      <c:scatterChart>
        <c:scatterStyle val="lineMarker"/>
        <c:varyColors val="0"/>
        <c:ser>
          <c:idx val="0"/>
          <c:order val="0"/>
          <c:tx>
            <c:strRef>
              <c:f>"CoStar Market Asking Rent ($/SF, left)"</c:f>
              <c:strCache>
                <c:ptCount val="1"/>
                <c:pt idx="0">
                  <c:v>CoStar Market Asking Rent ($/SF, left)</c:v>
                </c:pt>
              </c:strCache>
            </c:strRef>
          </c:tx>
          <c:spPr>
            <a:solidFill>
              <a:srgbClr val="a31f34"/>
            </a:solidFill>
            <a:ln w="28440">
              <a:solidFill>
                <a:srgbClr val="a31f34"/>
              </a:solidFill>
              <a:round/>
            </a:ln>
          </c:spPr>
          <c:marker>
            <c:symbol val="circle"/>
            <c:size val="5"/>
            <c:spPr>
              <a:solidFill>
                <a:srgbClr val="a31f34"/>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0"/>
            <c:extLst>
              <c:ext xmlns:c15="http://schemas.microsoft.com/office/drawing/2012/chart" uri="{CE6537A1-D6FC-4f65-9D91-7224C49458BB}">
                <c15:showLeaderLines val="0"/>
              </c:ext>
            </c:extLst>
          </c:dLbls>
          <c:xVal>
            <c:numRef>
              <c:f>'CUZ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'CUZ vs Market'!$AA$4:$AA$13</c:f>
              <c:numCache>
                <c:formatCode>#,##0</c:formatCode>
                <c:ptCount val="10"/>
                <c:pt idx="0">
                  <c:v>31.6313190637154</c:v>
                </c:pt>
                <c:pt idx="1">
                  <c:v>32.3851045859914</c:v>
                </c:pt>
                <c:pt idx="2">
                  <c:v>33.365978832824</c:v>
                </c:pt>
                <c:pt idx="3">
                  <c:v>34.5498725143906</c:v>
                </c:pt>
                <c:pt idx="4">
                  <c:v>34.0125009840526</c:v>
                </c:pt>
                <c:pt idx="5">
                  <c:v>34.3147010369627</c:v>
                </c:pt>
                <c:pt idx="6">
                  <c:v>34.9589096868985</c:v>
                </c:pt>
                <c:pt idx="7">
                  <c:v>35.3207484274751</c:v>
                </c:pt>
                <c:pt idx="8">
                  <c:v>36.0129883425729</c:v>
                </c:pt>
                <c:pt idx="9">
                  <c:v>36.7572621381188</c:v>
                </c:pt>
              </c:numCache>
            </c:numRef>
          </c:yVal>
          <c:smooth val="0"/>
        </c:ser>
        <c:axId val="23426301"/>
        <c:axId val="78719038"/>
      </c:scatterChart>
      <c:scatterChart>
        <c:scatterStyle val="lineMarker"/>
        <c:varyColors val="0"/>
        <c:ser>
          <c:idx val="1"/>
          <c:order val="1"/>
          <c:tx>
            <c:strRef>
              <c:f>"CoStar National Occupancy (right)"</c:f>
              <c:strCache>
                <c:ptCount val="1"/>
                <c:pt idx="0">
                  <c:v>CoStar National Occupancy (right)</c:v>
                </c:pt>
              </c:strCache>
            </c:strRef>
          </c:tx>
          <c:spPr>
            <a:solidFill>
              <a:srgbClr val="8a8a8a"/>
            </a:solidFill>
            <a:ln w="28440">
              <a:solidFill>
                <a:srgbClr val="8a8a8a"/>
              </a:solidFill>
              <a:prstDash val="dash"/>
              <a:round/>
            </a:ln>
          </c:spPr>
          <c:marker>
            <c:symbol val="diamond"/>
            <c:size val="4"/>
            <c:spPr>
              <a:solidFill>
                <a:srgbClr val="8a8a8a"/>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0"/>
            <c:extLst>
              <c:ext xmlns:c15="http://schemas.microsoft.com/office/drawing/2012/chart" uri="{CE6537A1-D6FC-4f65-9D91-7224C49458BB}">
                <c15:showLeaderLines val="0"/>
              </c:ext>
            </c:extLst>
          </c:dLbls>
          <c:xVal>
            <c:numRef>
              <c:f>'CUZ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'CUZ vs Market'!$AB$4:$AB$13</c:f>
              <c:numCache>
                <c:formatCode>0.0%</c:formatCode>
                <c:ptCount val="10"/>
                <c:pt idx="0">
                  <c:v>0.90292644820865</c:v>
                </c:pt>
                <c:pt idx="1">
                  <c:v>0.904512025125065</c:v>
                </c:pt>
                <c:pt idx="2">
                  <c:v>0.906788544184796</c:v>
                </c:pt>
                <c:pt idx="3">
                  <c:v>0.90640074478559</c:v>
                </c:pt>
                <c:pt idx="4">
                  <c:v>0.892342836722361</c:v>
                </c:pt>
                <c:pt idx="5">
                  <c:v>0.881820255291229</c:v>
                </c:pt>
                <c:pt idx="6">
                  <c:v>0.876175318494471</c:v>
                </c:pt>
                <c:pt idx="7">
                  <c:v>0.865204674783267</c:v>
                </c:pt>
                <c:pt idx="8">
                  <c:v>0.860445979092512</c:v>
                </c:pt>
                <c:pt idx="9">
                  <c:v>0.859618577591907</c:v>
                </c:pt>
              </c:numCache>
            </c:numRef>
          </c:yVal>
          <c:smooth val="0"/>
        </c:ser>
        <c:axId val="76887207"/>
        <c:axId val="1316280"/>
      </c:scatterChart>
      <c:valAx>
        <c:axId val="23426301"/>
        <c:scaling>
          <c:orientation val="minMax"/>
        </c:scaling>
        <c:delete val="0"/>
        <c:axPos val="b"/>
        <c:numFmt formatCode="0" sourceLinked="0"/>
        <c:majorTickMark val="none"/>
        <c:minorTickMark val="none"/>
        <c:tickLblPos val="low"/>
        <c:spPr>
          <a:ln w="0">
            <a:solidFill>
              <a:srgbClr val="b3b3b3"/>
            </a:solidFill>
          </a:ln>
        </c:spPr>
        <c:txPr>
          <a:bodyPr/>
          <a:lstStyle/>
          <a:p>
            <a:pPr>
              <a:defRPr b="0" sz="1000" spc="-1" strike="noStrike">
                <a:solidFill>
                  <a:srgbClr val="000000"/>
                </a:solidFill>
                <a:latin typeface="Calibri"/>
              </a:defRPr>
            </a:pPr>
          </a:p>
        </c:txPr>
        <c:crossAx val="78719038"/>
        <c:crosses val="autoZero"/>
        <c:crossBetween val="midCat"/>
        <c:majorUnit val="1"/>
      </c:valAx>
      <c:valAx>
        <c:axId val="78719038"/>
        <c:scaling>
          <c:orientation val="minMax"/>
        </c:scaling>
        <c:delete val="0"/>
        <c:axPos val="l"/>
        <c:majorGridlines>
          <c:spPr>
            <a:ln w="0">
              <a:solidFill>
                <a:srgbClr val="b3b3b3"/>
              </a:solidFill>
            </a:ln>
          </c:spPr>
        </c:majorGridlines>
        <c:numFmt formatCode="\$0.00"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23426301"/>
        <c:crosses val="autoZero"/>
        <c:crossBetween val="midCat"/>
      </c:valAx>
      <c:valAx>
        <c:axId val="76887207"/>
        <c:scaling>
          <c:orientation val="minMax"/>
        </c:scaling>
        <c:delete val="1"/>
        <c:axPos val="t"/>
        <c:numFmt formatCode="General" sourceLinked="1"/>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1316280"/>
        <c:crossBetween val="midCat"/>
        <c:majorUnit val="1"/>
      </c:valAx>
      <c:valAx>
        <c:axId val="1316280"/>
        <c:scaling>
          <c:orientation val="minMax"/>
        </c:scaling>
        <c:delete val="0"/>
        <c:axPos val="r"/>
        <c:numFmt formatCode="0.0%"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76887207"/>
        <c:crosses val="max"/>
        <c:crossBetween val="midCat"/>
      </c:valAx>
      <c:spPr>
        <a:noFill/>
        <a:ln w="0">
          <a:noFill/>
        </a:ln>
      </c:spPr>
    </c:plotArea>
    <c:legend>
      <c:legendPos val="b"/>
      <c:overlay val="0"/>
      <c:spPr>
        <a:noFill/>
        <a:ln w="0">
          <a:noFill/>
        </a:ln>
      </c:spPr>
      <c:txPr>
        <a:bodyPr/>
        <a:lstStyle/>
        <a:p>
          <a:pPr>
            <a:defRPr b="0" sz="1000" spc="-1" strike="noStrike">
              <a:solidFill>
                <a:srgbClr val="000000"/>
              </a:solidFill>
              <a:latin typeface="Calibri"/>
            </a:defRPr>
          </a:pPr>
        </a:p>
      </c:txPr>
    </c:legend>
    <c:plotVisOnly val="1"/>
    <c:dispBlanksAs val="gap"/>
  </c:chart>
  <c:spPr>
    <a:solidFill>
      <a:srgbClr val="ffffff"/>
    </a:solidFill>
    <a:ln w="9360">
      <a:solidFill>
        <a:srgbClr val="d9d9d9"/>
      </a:solidFill>
      <a:round/>
    </a:ln>
  </c:spPr>
</c:chartSpace>
</file>

<file path=xl/charts/chart24.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lang="en-US" sz="1200" spc="-1" strike="noStrike">
                <a:solidFill>
                  <a:srgbClr val="000000"/>
                </a:solidFill>
                <a:latin typeface="Calibri"/>
              </a:defRPr>
            </a:pPr>
            <a:r>
              <a:rPr b="1" lang="en-US" sz="1200" spc="-1" strike="noStrike">
                <a:solidFill>
                  <a:srgbClr val="000000"/>
                </a:solidFill>
                <a:latin typeface="Calibri"/>
              </a:rPr>
              <a:t>Asking Rent and Market-RevPAF (Indexed, 2016 = 100) and Vacancy (2016-2025)</a:t>
            </a:r>
          </a:p>
        </c:rich>
      </c:tx>
      <c:overlay val="0"/>
      <c:spPr>
        <a:noFill/>
        <a:ln w="0">
          <a:noFill/>
        </a:ln>
      </c:spPr>
    </c:title>
    <c:autoTitleDeleted val="0"/>
    <c:plotArea>
      <c:layout>
        <c:manualLayout>
          <c:layoutTarget val="inner"/>
          <c:xMode val="edge"/>
          <c:yMode val="edge"/>
          <c:x val="0.100106002385054"/>
          <c:y val="0.160271228232393"/>
          <c:w val="0.798959851596661"/>
          <c:h val="0.619355832948066"/>
        </c:manualLayout>
      </c:layout>
      <c:scatterChart>
        <c:scatterStyle val="lineMarker"/>
        <c:varyColors val="0"/>
        <c:ser>
          <c:idx val="0"/>
          <c:order val="0"/>
          <c:tx>
            <c:strRef>
              <c:f>"CoStar Market Asking Rent (2016 = 100)"</c:f>
              <c:strCache>
                <c:ptCount val="1"/>
                <c:pt idx="0">
                  <c:v>CoStar Market Asking Rent (2016 = 100)</c:v>
                </c:pt>
              </c:strCache>
            </c:strRef>
          </c:tx>
          <c:spPr>
            <a:solidFill>
              <a:srgbClr val="1f3b57"/>
            </a:solidFill>
            <a:ln w="28440">
              <a:solidFill>
                <a:srgbClr val="1f3b57"/>
              </a:solidFill>
              <a:round/>
            </a:ln>
          </c:spPr>
          <c:marker>
            <c:symbol val="circle"/>
            <c:size val="5"/>
            <c:spPr>
              <a:solidFill>
                <a:srgbClr val="1f3b57"/>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xVal>
            <c:numRef>
              <c:f>'CUZ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'CUZ vs Market'!$X$4:$X$13</c:f>
              <c:numCache>
                <c:formatCode>#,##0</c:formatCode>
                <c:ptCount val="10"/>
                <c:pt idx="0">
                  <c:v>100</c:v>
                </c:pt>
                <c:pt idx="1">
                  <c:v>102.38303537313</c:v>
                </c:pt>
                <c:pt idx="2">
                  <c:v>105.483994409511</c:v>
                </c:pt>
                <c:pt idx="3">
                  <c:v>109.226783887186</c:v>
                </c:pt>
                <c:pt idx="4">
                  <c:v>107.527924825205</c:v>
                </c:pt>
                <c:pt idx="5">
                  <c:v>108.483307217894</c:v>
                </c:pt>
                <c:pt idx="6">
                  <c:v>110.5199236759</c:v>
                </c:pt>
                <c:pt idx="7">
                  <c:v>111.663849225915</c:v>
                </c:pt>
                <c:pt idx="8">
                  <c:v>113.852312861286</c:v>
                </c:pt>
                <c:pt idx="9">
                  <c:v>116.20527763663</c:v>
                </c:pt>
              </c:numCache>
            </c:numRef>
          </c:yVal>
          <c:smooth val="0"/>
        </c:ser>
        <c:ser>
          <c:idx val="1"/>
          <c:order val="1"/>
          <c:tx>
            <c:strRef>
              <c:f>"Green Street Market-RevPAF (2016 = 100)"</c:f>
              <c:strCache>
                <c:ptCount val="1"/>
                <c:pt idx="0">
                  <c:v>Green Street Market-RevPAF (2016 = 100)</c:v>
                </c:pt>
              </c:strCache>
            </c:strRef>
          </c:tx>
          <c:spPr>
            <a:solidFill>
              <a:srgbClr val="a31f34"/>
            </a:solidFill>
            <a:ln w="28440">
              <a:solidFill>
                <a:srgbClr val="a31f34"/>
              </a:solidFill>
              <a:round/>
            </a:ln>
          </c:spPr>
          <c:marker>
            <c:symbol val="square"/>
            <c:size val="5"/>
            <c:spPr>
              <a:solidFill>
                <a:srgbClr val="a31f34"/>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xVal>
            <c:numRef>
              <c:f>'CUZ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'CUZ vs Market'!$AC$4:$AC$13</c:f>
              <c:numCache>
                <c:formatCode>#,##0</c:formatCode>
                <c:ptCount val="10"/>
                <c:pt idx="0">
                  <c:v>100</c:v>
                </c:pt>
                <c:pt idx="1">
                  <c:v>100.975579</c:v>
                </c:pt>
                <c:pt idx="2">
                  <c:v>103.226424621733</c:v>
                </c:pt>
                <c:pt idx="3">
                  <c:v>106.89745976697</c:v>
                </c:pt>
                <c:pt idx="4">
                  <c:v>98.4649530678906</c:v>
                </c:pt>
                <c:pt idx="5">
                  <c:v>93.1790698234918</c:v>
                </c:pt>
                <c:pt idx="6">
                  <c:v>89.7142499062681</c:v>
                </c:pt>
                <c:pt idx="7">
                  <c:v>84.973646666976</c:v>
                </c:pt>
                <c:pt idx="8">
                  <c:v>83.3969988912113</c:v>
                </c:pt>
                <c:pt idx="9">
                  <c:v>83.4585992504723</c:v>
                </c:pt>
              </c:numCache>
            </c:numRef>
          </c:yVal>
          <c:smooth val="0"/>
        </c:ser>
        <c:axId val="65398179"/>
        <c:axId val="67859720"/>
      </c:scatterChart>
      <c:scatterChart>
        <c:scatterStyle val="lineMarker"/>
        <c:varyColors val="0"/>
        <c:ser>
          <c:idx val="2"/>
          <c:order val="2"/>
          <c:tx>
            <c:strRef>
              <c:f>"CoStar National Vacancy (%)"</c:f>
              <c:strCache>
                <c:ptCount val="1"/>
                <c:pt idx="0">
                  <c:v>CoStar National Vacancy (%)</c:v>
                </c:pt>
              </c:strCache>
            </c:strRef>
          </c:tx>
          <c:spPr>
            <a:solidFill>
              <a:srgbClr val="8a8a8a"/>
            </a:solidFill>
            <a:ln w="28440">
              <a:solidFill>
                <a:srgbClr val="8a8a8a"/>
              </a:solidFill>
              <a:prstDash val="dash"/>
              <a:round/>
            </a:ln>
          </c:spPr>
          <c:marker>
            <c:symbol val="diamond"/>
            <c:size val="4"/>
            <c:spPr>
              <a:solidFill>
                <a:srgbClr val="8a8a8a"/>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xVal>
            <c:numRef>
              <c:f>'CUZ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'CUZ vs Market'!$G$4:$G$13</c:f>
              <c:numCache>
                <c:formatCode>0.00%</c:formatCode>
                <c:ptCount val="10"/>
                <c:pt idx="0">
                  <c:v>0.0970735517913501</c:v>
                </c:pt>
                <c:pt idx="1">
                  <c:v>0.0954879748749349</c:v>
                </c:pt>
                <c:pt idx="2">
                  <c:v>0.0932114558152037</c:v>
                </c:pt>
                <c:pt idx="3">
                  <c:v>0.0935992552144097</c:v>
                </c:pt>
                <c:pt idx="4">
                  <c:v>0.107657163277639</c:v>
                </c:pt>
                <c:pt idx="5">
                  <c:v>0.118179744708771</c:v>
                </c:pt>
                <c:pt idx="6">
                  <c:v>0.123824681505529</c:v>
                </c:pt>
                <c:pt idx="7">
                  <c:v>0.134795325216733</c:v>
                </c:pt>
                <c:pt idx="8">
                  <c:v>0.139554020907488</c:v>
                </c:pt>
                <c:pt idx="9">
                  <c:v>0.140381422408093</c:v>
                </c:pt>
              </c:numCache>
            </c:numRef>
          </c:yVal>
          <c:smooth val="0"/>
        </c:ser>
        <c:axId val="62890078"/>
        <c:axId val="15860971"/>
      </c:scatterChart>
      <c:valAx>
        <c:axId val="65398179"/>
        <c:scaling>
          <c:orientation val="minMax"/>
        </c:scaling>
        <c:delete val="0"/>
        <c:axPos val="b"/>
        <c:numFmt formatCode="0" sourceLinked="0"/>
        <c:majorTickMark val="none"/>
        <c:minorTickMark val="none"/>
        <c:tickLblPos val="low"/>
        <c:spPr>
          <a:ln w="0">
            <a:solidFill>
              <a:srgbClr val="b3b3b3"/>
            </a:solidFill>
          </a:ln>
        </c:spPr>
        <c:txPr>
          <a:bodyPr/>
          <a:lstStyle/>
          <a:p>
            <a:pPr>
              <a:defRPr b="0" sz="1000" spc="-1" strike="noStrike">
                <a:solidFill>
                  <a:srgbClr val="000000"/>
                </a:solidFill>
                <a:latin typeface="Calibri"/>
              </a:defRPr>
            </a:pPr>
          </a:p>
        </c:txPr>
        <c:crossAx val="67859720"/>
        <c:crosses val="autoZero"/>
        <c:crossBetween val="midCat"/>
        <c:majorUnit val="1"/>
      </c:valAx>
      <c:valAx>
        <c:axId val="67859720"/>
        <c:scaling>
          <c:orientation val="minMax"/>
        </c:scaling>
        <c:delete val="0"/>
        <c:axPos val="l"/>
        <c:majorGridlines>
          <c:spPr>
            <a:ln w="0">
              <a:solidFill>
                <a:srgbClr val="b3b3b3"/>
              </a:solidFill>
            </a:ln>
          </c:spPr>
        </c:majorGridlines>
        <c:numFmt formatCode="0"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65398179"/>
        <c:crosses val="autoZero"/>
        <c:crossBetween val="midCat"/>
      </c:valAx>
      <c:valAx>
        <c:axId val="62890078"/>
        <c:scaling>
          <c:orientation val="minMax"/>
        </c:scaling>
        <c:delete val="1"/>
        <c:axPos val="t"/>
        <c:numFmt formatCode="General" sourceLinked="1"/>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15860971"/>
        <c:crossBetween val="midCat"/>
        <c:majorUnit val="1"/>
      </c:valAx>
      <c:valAx>
        <c:axId val="15860971"/>
        <c:scaling>
          <c:orientation val="minMax"/>
        </c:scaling>
        <c:delete val="0"/>
        <c:axPos val="r"/>
        <c:numFmt formatCode="0.0%"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62890078"/>
        <c:crosses val="max"/>
        <c:crossBetween val="midCat"/>
      </c:valAx>
      <c:spPr>
        <a:noFill/>
        <a:ln w="0">
          <a:noFill/>
        </a:ln>
      </c:spPr>
    </c:plotArea>
    <c:legend>
      <c:legendPos val="b"/>
      <c:overlay val="0"/>
      <c:spPr>
        <a:noFill/>
        <a:ln w="0">
          <a:noFill/>
        </a:ln>
      </c:spPr>
      <c:txPr>
        <a:bodyPr/>
        <a:lstStyle/>
        <a:p>
          <a:pPr>
            <a:defRPr b="0" sz="1000" spc="-1" strike="noStrike">
              <a:solidFill>
                <a:srgbClr val="000000"/>
              </a:solidFill>
              <a:latin typeface="Calibri"/>
            </a:defRPr>
          </a:pPr>
        </a:p>
      </c:txPr>
    </c:legend>
    <c:plotVisOnly val="1"/>
    <c:dispBlanksAs val="gap"/>
  </c:chart>
  <c:spPr>
    <a:solidFill>
      <a:srgbClr val="ffffff"/>
    </a:solidFill>
    <a:ln w="9360">
      <a:solidFill>
        <a:srgbClr val="d9d9d9"/>
      </a:solidFill>
      <a:round/>
    </a:ln>
  </c:spPr>
</c:chartSpace>
</file>

<file path=xl/charts/chart25.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lang="en-US" sz="1200" spc="-1" strike="noStrike">
                <a:solidFill>
                  <a:srgbClr val="000000"/>
                </a:solidFill>
                <a:latin typeface="Calibri"/>
              </a:defRPr>
            </a:pPr>
            <a:r>
              <a:rPr b="1" lang="en-US" sz="1200" spc="-1" strike="noStrike">
                <a:solidFill>
                  <a:srgbClr val="000000"/>
                </a:solidFill>
                <a:latin typeface="Calibri"/>
              </a:rPr>
              <a:t>Supply Reduction and Forecast Revenue Recovery (2016-2030): Market-RevPAF Growth
Green Street, 51-market weighted average; dashed segment is the Green Street forecast (2026-2030).</a:t>
            </a:r>
          </a:p>
        </c:rich>
      </c:tx>
      <c:overlay val="0"/>
      <c:spPr>
        <a:noFill/>
        <a:ln w="0">
          <a:noFill/>
        </a:ln>
      </c:spPr>
    </c:title>
    <c:autoTitleDeleted val="0"/>
    <c:plotArea>
      <c:layout>
        <c:manualLayout>
          <c:layoutTarget val="inner"/>
          <c:xMode val="edge"/>
          <c:yMode val="edge"/>
          <c:x val="0.100106002385054"/>
          <c:y val="0.160271228232393"/>
          <c:w val="0.798959851596661"/>
          <c:h val="0.619355832948066"/>
        </c:manualLayout>
      </c:layout>
      <c:scatterChart>
        <c:scatterStyle val="lineMarker"/>
        <c:varyColors val="0"/>
        <c:ser>
          <c:idx val="0"/>
          <c:order val="0"/>
          <c:tx>
            <c:strRef>
              <c:f>"Market-RevPAF Growth, actual"</c:f>
              <c:strCache>
                <c:ptCount val="1"/>
                <c:pt idx="0">
                  <c:v>Market-RevPAF Growth, actual</c:v>
                </c:pt>
              </c:strCache>
            </c:strRef>
          </c:tx>
          <c:spPr>
            <a:solidFill>
              <a:srgbClr val="a31f34"/>
            </a:solidFill>
            <a:ln w="28440">
              <a:solidFill>
                <a:srgbClr val="a31f34"/>
              </a:solidFill>
              <a:round/>
            </a:ln>
          </c:spPr>
          <c:marker>
            <c:symbol val="circle"/>
            <c:size val="5"/>
            <c:spPr>
              <a:solidFill>
                <a:srgbClr val="a31f34"/>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0"/>
            <c:extLst>
              <c:ext xmlns:c15="http://schemas.microsoft.com/office/drawing/2012/chart" uri="{CE6537A1-D6FC-4f65-9D91-7224C49458BB}">
                <c15:showLeaderLines val="0"/>
              </c:ext>
            </c:extLst>
          </c:dLbls>
          <c:xVal>
            <c:numRef>
              <c:f>'Green Street National'!$A$4:$A$13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'Green Street National'!$C$4:$C$13</c:f>
              <c:numCache>
                <c:formatCode>0.00%</c:formatCode>
                <c:ptCount val="10"/>
                <c:pt idx="0">
                  <c:v>0.01895593</c:v>
                </c:pt>
                <c:pt idx="1">
                  <c:v>0.00975579</c:v>
                </c:pt>
                <c:pt idx="2">
                  <c:v>0.02229099</c:v>
                </c:pt>
                <c:pt idx="3">
                  <c:v>0.03556294</c:v>
                </c:pt>
                <c:pt idx="4">
                  <c:v>-0.07888407</c:v>
                </c:pt>
                <c:pt idx="5">
                  <c:v>-0.05368289</c:v>
                </c:pt>
                <c:pt idx="6">
                  <c:v>-0.03718453</c:v>
                </c:pt>
                <c:pt idx="7">
                  <c:v>-0.05284114</c:v>
                </c:pt>
                <c:pt idx="8">
                  <c:v>-0.01855455</c:v>
                </c:pt>
                <c:pt idx="9">
                  <c:v>0.00073864</c:v>
                </c:pt>
              </c:numCache>
            </c:numRef>
          </c:yVal>
          <c:smooth val="0"/>
        </c:ser>
        <c:ser>
          <c:idx val="1"/>
          <c:order val="1"/>
          <c:tx>
            <c:strRef>
              <c:f>"Market-RevPAF Growth, Green Street forecast"</c:f>
              <c:strCache>
                <c:ptCount val="1"/>
                <c:pt idx="0">
                  <c:v>Market-RevPAF Growth, Green Street forecast</c:v>
                </c:pt>
              </c:strCache>
            </c:strRef>
          </c:tx>
          <c:spPr>
            <a:solidFill>
              <a:srgbClr val="a31f34"/>
            </a:solidFill>
            <a:ln w="28440">
              <a:solidFill>
                <a:srgbClr val="a31f34"/>
              </a:solidFill>
              <a:prstDash val="dash"/>
              <a:round/>
            </a:ln>
          </c:spPr>
          <c:marker>
            <c:symbol val="circle"/>
            <c:size val="5"/>
            <c:spPr>
              <a:solidFill>
                <a:srgbClr val="a31f34"/>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0"/>
            <c:extLst>
              <c:ext xmlns:c15="http://schemas.microsoft.com/office/drawing/2012/chart" uri="{CE6537A1-D6FC-4f65-9D91-7224C49458BB}">
                <c15:showLeaderLines val="0"/>
              </c:ext>
            </c:extLst>
          </c:dLbls>
          <c:xVal>
            <c:numRef>
              <c:f>'Green Street National'!$A$13:$A$18</c:f>
              <c:numCache>
                <c:formatCode>General</c:formatCode>
                <c:ptCount val="6"/>
                <c:pt idx="0">
                  <c:v>2025</c:v>
                </c:pt>
                <c:pt idx="1">
                  <c:v>2026</c:v>
                </c:pt>
                <c:pt idx="2">
                  <c:v>2027</c:v>
                </c:pt>
                <c:pt idx="3">
                  <c:v>2028</c:v>
                </c:pt>
                <c:pt idx="4">
                  <c:v>2029</c:v>
                </c:pt>
                <c:pt idx="5">
                  <c:v>2030</c:v>
                </c:pt>
              </c:numCache>
            </c:numRef>
          </c:xVal>
          <c:yVal>
            <c:numRef>
              <c:f>'Green Street National'!$C$13:$C$18</c:f>
              <c:numCache>
                <c:formatCode>0.00%</c:formatCode>
                <c:ptCount val="6"/>
                <c:pt idx="0">
                  <c:v>0.00073864</c:v>
                </c:pt>
                <c:pt idx="1">
                  <c:v>0.02641028</c:v>
                </c:pt>
                <c:pt idx="2">
                  <c:v>0.03173914</c:v>
                </c:pt>
                <c:pt idx="3">
                  <c:v>0.02121428</c:v>
                </c:pt>
                <c:pt idx="4">
                  <c:v>0.02121284</c:v>
                </c:pt>
                <c:pt idx="5">
                  <c:v>0.02121141</c:v>
                </c:pt>
              </c:numCache>
            </c:numRef>
          </c:yVal>
          <c:smooth val="0"/>
        </c:ser>
        <c:axId val="13145615"/>
        <c:axId val="12881223"/>
      </c:scatterChart>
      <c:valAx>
        <c:axId val="13145615"/>
        <c:scaling>
          <c:orientation val="minMax"/>
        </c:scaling>
        <c:delete val="0"/>
        <c:axPos val="b"/>
        <c:numFmt formatCode="0" sourceLinked="0"/>
        <c:majorTickMark val="none"/>
        <c:minorTickMark val="none"/>
        <c:tickLblPos val="low"/>
        <c:spPr>
          <a:ln w="0">
            <a:solidFill>
              <a:srgbClr val="b3b3b3"/>
            </a:solidFill>
          </a:ln>
        </c:spPr>
        <c:txPr>
          <a:bodyPr/>
          <a:lstStyle/>
          <a:p>
            <a:pPr>
              <a:defRPr b="0" sz="1000" spc="-1" strike="noStrike">
                <a:solidFill>
                  <a:srgbClr val="000000"/>
                </a:solidFill>
                <a:latin typeface="Calibri"/>
              </a:defRPr>
            </a:pPr>
          </a:p>
        </c:txPr>
        <c:crossAx val="12881223"/>
        <c:crosses val="autoZero"/>
        <c:crossBetween val="midCat"/>
        <c:majorUnit val="1"/>
      </c:valAx>
      <c:valAx>
        <c:axId val="12881223"/>
        <c:scaling>
          <c:orientation val="minMax"/>
        </c:scaling>
        <c:delete val="0"/>
        <c:axPos val="l"/>
        <c:majorGridlines>
          <c:spPr>
            <a:ln w="0">
              <a:solidFill>
                <a:srgbClr val="b3b3b3"/>
              </a:solidFill>
            </a:ln>
          </c:spPr>
        </c:majorGridlines>
        <c:numFmt formatCode="0%"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13145615"/>
        <c:crosses val="autoZero"/>
        <c:crossBetween val="midCat"/>
      </c:valAx>
      <c:spPr>
        <a:noFill/>
        <a:ln w="0">
          <a:noFill/>
        </a:ln>
      </c:spPr>
    </c:plotArea>
    <c:legend>
      <c:legendPos val="b"/>
      <c:overlay val="0"/>
      <c:spPr>
        <a:noFill/>
        <a:ln w="0">
          <a:noFill/>
        </a:ln>
      </c:spPr>
      <c:txPr>
        <a:bodyPr/>
        <a:lstStyle/>
        <a:p>
          <a:pPr>
            <a:defRPr b="0" sz="1000" spc="-1" strike="noStrike">
              <a:solidFill>
                <a:srgbClr val="000000"/>
              </a:solidFill>
              <a:latin typeface="Calibri"/>
            </a:defRPr>
          </a:pPr>
        </a:p>
      </c:txPr>
    </c:legend>
    <c:plotVisOnly val="1"/>
    <c:dispBlanksAs val="gap"/>
  </c:chart>
  <c:spPr>
    <a:solidFill>
      <a:srgbClr val="ffffff"/>
    </a:solidFill>
    <a:ln w="9360">
      <a:solidFill>
        <a:srgbClr val="d9d9d9"/>
      </a:solidFill>
      <a:round/>
    </a:ln>
  </c:spPr>
</c:chartSpace>
</file>

<file path=xl/charts/chart26.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lang="en-US" sz="1200" spc="-1" strike="noStrike">
                <a:solidFill>
                  <a:srgbClr val="000000"/>
                </a:solidFill>
                <a:latin typeface="Calibri"/>
              </a:defRPr>
            </a:pPr>
            <a:r>
              <a:rPr b="1" lang="en-US" sz="1200" spc="-1" strike="noStrike">
                <a:solidFill>
                  <a:srgbClr val="000000"/>
                </a:solidFill>
                <a:latin typeface="Calibri"/>
              </a:rPr>
              <a:t>Supply Reduction and Forecast Revenue Recovery (2016-2030): Supply Growth (% of Stock)
Green Street, 51-market weighted average; lighter bars are the Green Street forecast (2026-2030).</a:t>
            </a:r>
          </a:p>
        </c:rich>
      </c:tx>
      <c:overlay val="0"/>
      <c:spPr>
        <a:noFill/>
        <a:ln w="0">
          <a:noFill/>
        </a:ln>
      </c:spPr>
    </c:title>
    <c:autoTitleDeleted val="0"/>
    <c:plotArea>
      <c:layout>
        <c:manualLayout>
          <c:layoutTarget val="inner"/>
          <c:xMode val="edge"/>
          <c:yMode val="edge"/>
          <c:x val="0.100106002385054"/>
          <c:y val="0.160271228232393"/>
          <c:w val="0.798959851596661"/>
          <c:h val="0.619355832948066"/>
        </c:manualLayout>
      </c:layout>
      <c:barChart>
        <c:barDir val="col"/>
        <c:grouping val="stacked"/>
        <c:varyColors val="0"/>
        <c:ser>
          <c:idx val="0"/>
          <c:order val="0"/>
          <c:tx>
            <c:strRef>
              <c:f>"Supply Growth, actual"</c:f>
              <c:strCache>
                <c:ptCount val="1"/>
                <c:pt idx="0">
                  <c:v>Supply Growth, actual</c:v>
                </c:pt>
              </c:strCache>
            </c:strRef>
          </c:tx>
          <c:spPr>
            <a:solidFill>
              <a:srgbClr val="1f3b57"/>
            </a:solidFill>
            <a:ln w="0">
              <a:noFill/>
            </a:ln>
          </c:spPr>
          <c:invertIfNegative val="0"/>
          <c:dLbls>
            <c:txPr>
              <a:bodyPr wrap="square"/>
              <a:lstStyle/>
              <a:p>
                <a:pPr>
                  <a:defRPr b="0" sz="1000" spc="-1" strike="noStrike">
                    <a:solidFill>
                      <a:srgbClr val="000000"/>
                    </a:solidFill>
                    <a:latin typeface="Calibri"/>
                  </a:defRPr>
                </a:pPr>
              </a:p>
            </c:txPr>
            <c:dLblPos val="ctr"/>
            <c:showLegendKey val="0"/>
            <c:showVal val="0"/>
            <c:showCatName val="0"/>
            <c:showSerName val="0"/>
            <c:showPercent val="0"/>
            <c:separator>; </c:separator>
            <c:showLeaderLines val="0"/>
            <c:extLst>
              <c:ext xmlns:c15="http://schemas.microsoft.com/office/drawing/2012/chart" uri="{CE6537A1-D6FC-4f65-9D91-7224C49458BB}">
                <c15:showLeaderLines val="0"/>
              </c:ext>
            </c:extLst>
          </c:dLbls>
          <c:cat>
            <c:strRef>
              <c:f>'Green Street National'!$A$4:$A$18</c:f>
              <c:strCache>
                <c:ptCount val="15"/>
                <c:pt idx="0">
                  <c:v>2016</c:v>
                </c:pt>
                <c:pt idx="1">
                  <c:v>2017</c:v>
                </c:pt>
                <c:pt idx="2">
                  <c:v>2018</c:v>
                </c:pt>
                <c:pt idx="3">
                  <c:v>2019</c:v>
                </c:pt>
                <c:pt idx="4">
                  <c:v>2020</c:v>
                </c:pt>
                <c:pt idx="5">
                  <c:v>2021</c:v>
                </c:pt>
                <c:pt idx="6">
                  <c:v>2022</c:v>
                </c:pt>
                <c:pt idx="7">
                  <c:v>2023</c:v>
                </c:pt>
                <c:pt idx="8">
                  <c:v>2024</c:v>
                </c:pt>
                <c:pt idx="9">
                  <c:v>2025</c:v>
                </c:pt>
                <c:pt idx="10">
                  <c:v>2026</c:v>
                </c:pt>
                <c:pt idx="11">
                  <c:v>2027</c:v>
                </c:pt>
                <c:pt idx="12">
                  <c:v>2028</c:v>
                </c:pt>
                <c:pt idx="13">
                  <c:v>2029</c:v>
                </c:pt>
                <c:pt idx="14">
                  <c:v>2030</c:v>
                </c:pt>
              </c:strCache>
            </c:strRef>
          </c:cat>
          <c:val>
            <c:numRef>
              <c:f>'Green Street National'!$H$4:$H$18</c:f>
              <c:numCache>
                <c:formatCode>0.00%</c:formatCode>
                <c:ptCount val="15"/>
                <c:pt idx="0">
                  <c:v>0.01185798</c:v>
                </c:pt>
                <c:pt idx="1">
                  <c:v>0.0145198</c:v>
                </c:pt>
                <c:pt idx="2">
                  <c:v>0.01405258</c:v>
                </c:pt>
                <c:pt idx="3">
                  <c:v>0.01295095</c:v>
                </c:pt>
                <c:pt idx="4">
                  <c:v>0.01580595</c:v>
                </c:pt>
                <c:pt idx="5">
                  <c:v>0.01304371</c:v>
                </c:pt>
                <c:pt idx="6">
                  <c:v>0.00965422</c:v>
                </c:pt>
                <c:pt idx="7">
                  <c:v>0.00850896</c:v>
                </c:pt>
                <c:pt idx="8">
                  <c:v>0.00796357</c:v>
                </c:pt>
                <c:pt idx="9">
                  <c:v>0.004443</c:v>
                </c:pt>
              </c:numCache>
            </c:numRef>
          </c:val>
        </c:ser>
        <c:ser>
          <c:idx val="1"/>
          <c:order val="1"/>
          <c:tx>
            <c:strRef>
              <c:f>"Supply Growth, Green Street forecast"</c:f>
              <c:strCache>
                <c:ptCount val="1"/>
                <c:pt idx="0">
                  <c:v>Supply Growth, Green Street forecast</c:v>
                </c:pt>
              </c:strCache>
            </c:strRef>
          </c:tx>
          <c:spPr>
            <a:solidFill>
              <a:srgbClr val="a9bcd1"/>
            </a:solidFill>
            <a:ln w="0">
              <a:noFill/>
            </a:ln>
          </c:spPr>
          <c:invertIfNegative val="0"/>
          <c:dLbls>
            <c:txPr>
              <a:bodyPr wrap="square"/>
              <a:lstStyle/>
              <a:p>
                <a:pPr>
                  <a:defRPr b="0" sz="1000" spc="-1" strike="noStrike">
                    <a:solidFill>
                      <a:srgbClr val="000000"/>
                    </a:solidFill>
                    <a:latin typeface="Calibri"/>
                  </a:defRPr>
                </a:pPr>
              </a:p>
            </c:txPr>
            <c:dLblPos val="ctr"/>
            <c:showLegendKey val="0"/>
            <c:showVal val="0"/>
            <c:showCatName val="0"/>
            <c:showSerName val="0"/>
            <c:showPercent val="0"/>
            <c:separator>; </c:separator>
            <c:showLeaderLines val="0"/>
            <c:extLst>
              <c:ext xmlns:c15="http://schemas.microsoft.com/office/drawing/2012/chart" uri="{CE6537A1-D6FC-4f65-9D91-7224C49458BB}">
                <c15:showLeaderLines val="0"/>
              </c:ext>
            </c:extLst>
          </c:dLbls>
          <c:cat>
            <c:strRef>
              <c:f>'Green Street National'!$A$4:$A$18</c:f>
              <c:strCache>
                <c:ptCount val="15"/>
                <c:pt idx="0">
                  <c:v>2016</c:v>
                </c:pt>
                <c:pt idx="1">
                  <c:v>2017</c:v>
                </c:pt>
                <c:pt idx="2">
                  <c:v>2018</c:v>
                </c:pt>
                <c:pt idx="3">
                  <c:v>2019</c:v>
                </c:pt>
                <c:pt idx="4">
                  <c:v>2020</c:v>
                </c:pt>
                <c:pt idx="5">
                  <c:v>2021</c:v>
                </c:pt>
                <c:pt idx="6">
                  <c:v>2022</c:v>
                </c:pt>
                <c:pt idx="7">
                  <c:v>2023</c:v>
                </c:pt>
                <c:pt idx="8">
                  <c:v>2024</c:v>
                </c:pt>
                <c:pt idx="9">
                  <c:v>2025</c:v>
                </c:pt>
                <c:pt idx="10">
                  <c:v>2026</c:v>
                </c:pt>
                <c:pt idx="11">
                  <c:v>2027</c:v>
                </c:pt>
                <c:pt idx="12">
                  <c:v>2028</c:v>
                </c:pt>
                <c:pt idx="13">
                  <c:v>2029</c:v>
                </c:pt>
                <c:pt idx="14">
                  <c:v>2030</c:v>
                </c:pt>
              </c:strCache>
            </c:strRef>
          </c:cat>
          <c:val>
            <c:numRef>
              <c:f>'Green Street National'!$I$4:$I$18</c:f>
              <c:numCache>
                <c:formatCode>0.00%</c:formatCode>
                <c:ptCount val="15"/>
                <c:pt idx="10">
                  <c:v>0.00381869</c:v>
                </c:pt>
                <c:pt idx="11">
                  <c:v>0.00381869</c:v>
                </c:pt>
                <c:pt idx="12">
                  <c:v>0.00381869</c:v>
                </c:pt>
                <c:pt idx="13">
                  <c:v>0.00381869</c:v>
                </c:pt>
                <c:pt idx="14">
                  <c:v>0.00381869</c:v>
                </c:pt>
              </c:numCache>
            </c:numRef>
          </c:val>
        </c:ser>
        <c:gapWidth val="150"/>
        <c:overlap val="100"/>
        <c:axId val="23478913"/>
        <c:axId val="30560779"/>
      </c:barChart>
      <c:catAx>
        <c:axId val="23478913"/>
        <c:scaling>
          <c:orientation val="minMax"/>
        </c:scaling>
        <c:delete val="0"/>
        <c:axPos val="b"/>
        <c:numFmt formatCode="General" sourceLinked="0"/>
        <c:majorTickMark val="none"/>
        <c:minorTickMark val="none"/>
        <c:tickLblPos val="low"/>
        <c:spPr>
          <a:ln w="0">
            <a:solidFill>
              <a:srgbClr val="b3b3b3"/>
            </a:solidFill>
          </a:ln>
        </c:spPr>
        <c:txPr>
          <a:bodyPr/>
          <a:lstStyle/>
          <a:p>
            <a:pPr>
              <a:defRPr b="0" sz="1000" spc="-1" strike="noStrike">
                <a:solidFill>
                  <a:srgbClr val="000000"/>
                </a:solidFill>
                <a:latin typeface="Calibri"/>
              </a:defRPr>
            </a:pPr>
          </a:p>
        </c:txPr>
        <c:crossAx val="30560779"/>
        <c:crosses val="autoZero"/>
        <c:auto val="1"/>
        <c:lblAlgn val="ctr"/>
        <c:lblOffset val="100"/>
        <c:noMultiLvlLbl val="0"/>
      </c:catAx>
      <c:valAx>
        <c:axId val="30560779"/>
        <c:scaling>
          <c:orientation val="minMax"/>
        </c:scaling>
        <c:delete val="0"/>
        <c:axPos val="l"/>
        <c:majorGridlines>
          <c:spPr>
            <a:ln w="0">
              <a:solidFill>
                <a:srgbClr val="b3b3b3"/>
              </a:solidFill>
            </a:ln>
          </c:spPr>
        </c:majorGridlines>
        <c:numFmt formatCode="0.0%"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23478913"/>
        <c:crosses val="autoZero"/>
        <c:crossBetween val="between"/>
      </c:valAx>
      <c:spPr>
        <a:noFill/>
        <a:ln w="0">
          <a:noFill/>
        </a:ln>
      </c:spPr>
    </c:plotArea>
    <c:legend>
      <c:legendPos val="b"/>
      <c:overlay val="0"/>
      <c:spPr>
        <a:noFill/>
        <a:ln w="0">
          <a:noFill/>
        </a:ln>
      </c:spPr>
      <c:txPr>
        <a:bodyPr/>
        <a:lstStyle/>
        <a:p>
          <a:pPr>
            <a:defRPr b="0" sz="1000" spc="-1" strike="noStrike">
              <a:solidFill>
                <a:srgbClr val="000000"/>
              </a:solidFill>
              <a:latin typeface="Calibri"/>
            </a:defRPr>
          </a:pPr>
        </a:p>
      </c:txPr>
    </c:legend>
    <c:plotVisOnly val="1"/>
    <c:dispBlanksAs val="gap"/>
  </c:chart>
  <c:spPr>
    <a:solidFill>
      <a:srgbClr val="ffffff"/>
    </a:solidFill>
    <a:ln w="9360">
      <a:solidFill>
        <a:srgbClr val="d9d9d9"/>
      </a:solidFill>
      <a:round/>
    </a:ln>
  </c:spPr>
</c:chartSpace>
</file>

<file path=xl/charts/chart27.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lang="en-US" sz="1200" spc="-1" strike="noStrike">
                <a:solidFill>
                  <a:srgbClr val="000000"/>
                </a:solidFill>
                <a:latin typeface="Calibri"/>
              </a:defRPr>
            </a:pPr>
            <a:r>
              <a:rPr b="1" lang="en-US" sz="1200" spc="-1" strike="noStrike">
                <a:solidFill>
                  <a:srgbClr val="000000"/>
                </a:solidFill>
                <a:latin typeface="Calibri"/>
              </a:rPr>
              <a:t>Operating Fundamentals: CoStar Market Asking Rent ($/SF) (2016-2025)</a:t>
            </a:r>
          </a:p>
        </c:rich>
      </c:tx>
      <c:overlay val="0"/>
      <c:spPr>
        <a:noFill/>
        <a:ln w="0">
          <a:noFill/>
        </a:ln>
      </c:spPr>
    </c:title>
    <c:autoTitleDeleted val="0"/>
    <c:plotArea>
      <c:layout>
        <c:manualLayout>
          <c:layoutTarget val="inner"/>
          <c:xMode val="edge"/>
          <c:yMode val="edge"/>
          <c:x val="0.100106002385054"/>
          <c:y val="0.160271228232393"/>
          <c:w val="0.79902610308732"/>
          <c:h val="0.619355832948066"/>
        </c:manualLayout>
      </c:layout>
      <c:scatterChart>
        <c:scatterStyle val="lineMarker"/>
        <c:varyColors val="0"/>
        <c:ser>
          <c:idx val="0"/>
          <c:order val="0"/>
          <c:tx>
            <c:strRef>
              <c:f>"CoStar Market Asking Rent ($/SF)"</c:f>
              <c:strCache>
                <c:ptCount val="1"/>
                <c:pt idx="0">
                  <c:v>CoStar Market Asking Rent ($/SF)</c:v>
                </c:pt>
              </c:strCache>
            </c:strRef>
          </c:tx>
          <c:spPr>
            <a:solidFill>
              <a:srgbClr val="1f3b57"/>
            </a:solidFill>
            <a:ln w="28440">
              <a:solidFill>
                <a:srgbClr val="1f3b57"/>
              </a:solidFill>
              <a:round/>
            </a:ln>
          </c:spPr>
          <c:marker>
            <c:symbol val="circle"/>
            <c:size val="5"/>
            <c:spPr>
              <a:solidFill>
                <a:srgbClr val="1f3b57"/>
              </a:solidFill>
            </c:spPr>
          </c:marker>
          <c:dPt>
            <c:idx val="0"/>
            <c:marker>
              <c:symbol val="circle"/>
              <c:size val="5"/>
              <c:spPr>
                <a:solidFill>
                  <a:srgbClr val="1f3b57"/>
                </a:solidFill>
              </c:spPr>
            </c:marker>
          </c:dPt>
          <c:dPt>
            <c:idx val="1"/>
            <c:marker>
              <c:symbol val="circle"/>
              <c:size val="5"/>
              <c:spPr>
                <a:solidFill>
                  <a:srgbClr val="1f3b57"/>
                </a:solidFill>
              </c:spPr>
            </c:marker>
          </c:dPt>
          <c:dPt>
            <c:idx val="2"/>
            <c:marker>
              <c:symbol val="circle"/>
              <c:size val="5"/>
              <c:spPr>
                <a:solidFill>
                  <a:srgbClr val="1f3b57"/>
                </a:solidFill>
              </c:spPr>
            </c:marker>
          </c:dPt>
          <c:dPt>
            <c:idx val="3"/>
            <c:marker>
              <c:symbol val="circle"/>
              <c:size val="5"/>
              <c:spPr>
                <a:solidFill>
                  <a:srgbClr val="1f3b57"/>
                </a:solidFill>
              </c:spPr>
            </c:marker>
          </c:dPt>
          <c:dPt>
            <c:idx val="4"/>
            <c:marker>
              <c:symbol val="circle"/>
              <c:size val="5"/>
              <c:spPr>
                <a:solidFill>
                  <a:srgbClr val="1f3b57"/>
                </a:solidFill>
              </c:spPr>
            </c:marker>
          </c:dPt>
          <c:dPt>
            <c:idx val="5"/>
            <c:marker>
              <c:symbol val="circle"/>
              <c:size val="5"/>
              <c:spPr>
                <a:solidFill>
                  <a:srgbClr val="1f3b57"/>
                </a:solidFill>
              </c:spPr>
            </c:marker>
          </c:dPt>
          <c:dPt>
            <c:idx val="6"/>
            <c:marker>
              <c:symbol val="circle"/>
              <c:size val="5"/>
              <c:spPr>
                <a:solidFill>
                  <a:srgbClr val="1f3b57"/>
                </a:solidFill>
              </c:spPr>
            </c:marker>
          </c:dPt>
          <c:dPt>
            <c:idx val="7"/>
            <c:marker>
              <c:symbol val="circle"/>
              <c:size val="5"/>
              <c:spPr>
                <a:solidFill>
                  <a:srgbClr val="1f3b57"/>
                </a:solidFill>
              </c:spPr>
            </c:marker>
          </c:dPt>
          <c:dPt>
            <c:idx val="8"/>
            <c:marker>
              <c:symbol val="circle"/>
              <c:size val="5"/>
              <c:spPr>
                <a:solidFill>
                  <a:srgbClr val="1f3b57"/>
                </a:solidFill>
              </c:spPr>
            </c:marker>
          </c:dPt>
          <c:dPt>
            <c:idx val="9"/>
            <c:marker>
              <c:symbol val="circle"/>
              <c:size val="5"/>
              <c:spPr>
                <a:solidFill>
                  <a:srgbClr val="1f3b57"/>
                </a:solidFill>
              </c:spPr>
            </c:marker>
          </c:dPt>
          <c:dLbls>
            <c:dLbl>
              <c:idx val="0"/>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1"/>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2"/>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3"/>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4"/>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5"/>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6"/>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7"/>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8"/>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9"/>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0"/>
            <c:extLst>
              <c:ext xmlns:c15="http://schemas.microsoft.com/office/drawing/2012/chart" uri="{CE6537A1-D6FC-4f65-9D91-7224C49458BB}">
                <c15:showLeaderLines val="0"/>
              </c:ext>
            </c:extLst>
          </c:dLbls>
          <c:xVal>
            <c:numRef>
              <c:f>'HIW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'HIW vs Market'!$AA$4:$AA$13</c:f>
              <c:numCache>
                <c:formatCode>#,##0</c:formatCode>
                <c:ptCount val="10"/>
                <c:pt idx="0">
                  <c:v>31.6313190637154</c:v>
                </c:pt>
                <c:pt idx="1">
                  <c:v>32.3851045859914</c:v>
                </c:pt>
                <c:pt idx="2">
                  <c:v>33.365978832824</c:v>
                </c:pt>
                <c:pt idx="3">
                  <c:v>34.5498725143906</c:v>
                </c:pt>
                <c:pt idx="4">
                  <c:v>34.0125009840526</c:v>
                </c:pt>
                <c:pt idx="5">
                  <c:v>34.3147010369627</c:v>
                </c:pt>
                <c:pt idx="6">
                  <c:v>34.9589096868985</c:v>
                </c:pt>
                <c:pt idx="7">
                  <c:v>35.3207484274751</c:v>
                </c:pt>
                <c:pt idx="8">
                  <c:v>36.0129883425729</c:v>
                </c:pt>
                <c:pt idx="9">
                  <c:v>36.7572621381188</c:v>
                </c:pt>
              </c:numCache>
            </c:numRef>
          </c:yVal>
          <c:smooth val="0"/>
        </c:ser>
        <c:axId val="20819730"/>
        <c:axId val="52126289"/>
      </c:scatterChart>
      <c:valAx>
        <c:axId val="20819730"/>
        <c:scaling>
          <c:orientation val="minMax"/>
        </c:scaling>
        <c:delete val="0"/>
        <c:axPos val="b"/>
        <c:numFmt formatCode="0" sourceLinked="0"/>
        <c:majorTickMark val="none"/>
        <c:minorTickMark val="none"/>
        <c:tickLblPos val="low"/>
        <c:spPr>
          <a:ln w="0">
            <a:solidFill>
              <a:srgbClr val="b3b3b3"/>
            </a:solidFill>
          </a:ln>
        </c:spPr>
        <c:txPr>
          <a:bodyPr/>
          <a:lstStyle/>
          <a:p>
            <a:pPr>
              <a:defRPr b="0" sz="1000" spc="-1" strike="noStrike">
                <a:solidFill>
                  <a:srgbClr val="000000"/>
                </a:solidFill>
                <a:latin typeface="Calibri"/>
              </a:defRPr>
            </a:pPr>
          </a:p>
        </c:txPr>
        <c:crossAx val="52126289"/>
        <c:crosses val="autoZero"/>
        <c:crossBetween val="midCat"/>
        <c:majorUnit val="1"/>
      </c:valAx>
      <c:valAx>
        <c:axId val="52126289"/>
        <c:scaling>
          <c:orientation val="minMax"/>
        </c:scaling>
        <c:delete val="0"/>
        <c:axPos val="l"/>
        <c:majorGridlines>
          <c:spPr>
            <a:ln w="0">
              <a:solidFill>
                <a:srgbClr val="b3b3b3"/>
              </a:solidFill>
            </a:ln>
          </c:spPr>
        </c:majorGridlines>
        <c:numFmt formatCode="\$0.00"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20819730"/>
        <c:crosses val="autoZero"/>
        <c:crossBetween val="midCat"/>
      </c:valAx>
      <c:spPr>
        <a:noFill/>
        <a:ln w="0">
          <a:noFill/>
        </a:ln>
      </c:spPr>
    </c:plotArea>
    <c:plotVisOnly val="1"/>
    <c:dispBlanksAs val="gap"/>
  </c:chart>
  <c:spPr>
    <a:solidFill>
      <a:srgbClr val="ffffff"/>
    </a:solidFill>
    <a:ln w="9360">
      <a:solidFill>
        <a:srgbClr val="d9d9d9"/>
      </a:solidFill>
      <a:round/>
    </a:ln>
  </c:spPr>
</c:chartSpace>
</file>

<file path=xl/charts/chart28.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lang="en-US" sz="1200" spc="-1" strike="noStrike">
                <a:solidFill>
                  <a:srgbClr val="000000"/>
                </a:solidFill>
                <a:latin typeface="Calibri"/>
              </a:defRPr>
            </a:pPr>
            <a:r>
              <a:rPr b="1" lang="en-US" sz="1200" spc="-1" strike="noStrike">
                <a:solidFill>
                  <a:srgbClr val="000000"/>
                </a:solidFill>
                <a:latin typeface="Calibri"/>
              </a:rPr>
              <a:t>Inflation and the Cost of Debt: CPI vs. Prime Rate (2016-2025)
2022: CPI averaged 8.0% while the prime rate averaged 4.9%; the prime rate followed to 8.3% by 2023.</a:t>
            </a:r>
          </a:p>
        </c:rich>
      </c:tx>
      <c:overlay val="0"/>
      <c:spPr>
        <a:noFill/>
        <a:ln w="0">
          <a:noFill/>
        </a:ln>
      </c:spPr>
    </c:title>
    <c:autoTitleDeleted val="0"/>
    <c:plotArea>
      <c:layout>
        <c:manualLayout>
          <c:layoutTarget val="inner"/>
          <c:xMode val="edge"/>
          <c:yMode val="edge"/>
          <c:x val="0.100106002385054"/>
          <c:y val="0.160271228232393"/>
          <c:w val="0.79902610308732"/>
          <c:h val="0.619355832948066"/>
        </c:manualLayout>
      </c:layout>
      <c:scatterChart>
        <c:scatterStyle val="lineMarker"/>
        <c:varyColors val="0"/>
        <c:ser>
          <c:idx val="0"/>
          <c:order val="0"/>
          <c:tx>
            <c:strRef>
              <c:f>"Bank Prime Loan Rate"</c:f>
              <c:strCache>
                <c:ptCount val="1"/>
                <c:pt idx="0">
                  <c:v>Bank Prime Loan Rate</c:v>
                </c:pt>
              </c:strCache>
            </c:strRef>
          </c:tx>
          <c:spPr>
            <a:solidFill>
              <a:srgbClr val="8a8a8a"/>
            </a:solidFill>
            <a:ln w="28440">
              <a:solidFill>
                <a:srgbClr val="8a8a8a"/>
              </a:solidFill>
              <a:round/>
            </a:ln>
          </c:spPr>
          <c:marker>
            <c:symbol val="triangle"/>
            <c:size val="5"/>
            <c:spPr>
              <a:solidFill>
                <a:srgbClr val="8a8a8a"/>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0"/>
            <c:extLst>
              <c:ext xmlns:c15="http://schemas.microsoft.com/office/drawing/2012/chart" uri="{CE6537A1-D6FC-4f65-9D91-7224C49458BB}">
                <c15:showLeaderLines val="0"/>
              </c:ext>
            </c:extLst>
          </c:dLbls>
          <c:xVal>
            <c:numRef>
              <c:f>'HIW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'HIW vs Market'!$P$4:$P$13</c:f>
              <c:numCache>
                <c:formatCode>0.00%</c:formatCode>
                <c:ptCount val="10"/>
                <c:pt idx="0">
                  <c:v>0.0351</c:v>
                </c:pt>
                <c:pt idx="1">
                  <c:v>0.041</c:v>
                </c:pt>
                <c:pt idx="2">
                  <c:v>0.049</c:v>
                </c:pt>
                <c:pt idx="3">
                  <c:v>0.0528</c:v>
                </c:pt>
                <c:pt idx="4">
                  <c:v>0.0354</c:v>
                </c:pt>
                <c:pt idx="5">
                  <c:v>0.0325</c:v>
                </c:pt>
                <c:pt idx="6">
                  <c:v>0.0485</c:v>
                </c:pt>
                <c:pt idx="7">
                  <c:v>0.0819</c:v>
                </c:pt>
                <c:pt idx="8">
                  <c:v>0.0831</c:v>
                </c:pt>
                <c:pt idx="9">
                  <c:v>0.0737</c:v>
                </c:pt>
              </c:numCache>
            </c:numRef>
          </c:yVal>
          <c:smooth val="0"/>
        </c:ser>
        <c:ser>
          <c:idx val="1"/>
          <c:order val="1"/>
          <c:tx>
            <c:strRef>
              <c:f>"CPI Inflation (annual avg, YoY)"</c:f>
              <c:strCache>
                <c:ptCount val="1"/>
                <c:pt idx="0">
                  <c:v>CPI Inflation (annual avg, YoY)</c:v>
                </c:pt>
              </c:strCache>
            </c:strRef>
          </c:tx>
          <c:spPr>
            <a:solidFill>
              <a:srgbClr val="c08a00"/>
            </a:solidFill>
            <a:ln w="28440">
              <a:solidFill>
                <a:srgbClr val="c08a00"/>
              </a:solidFill>
              <a:round/>
            </a:ln>
          </c:spPr>
          <c:marker>
            <c:symbol val="diamond"/>
            <c:size val="5"/>
            <c:spPr>
              <a:solidFill>
                <a:srgbClr val="c08a00"/>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0"/>
            <c:extLst>
              <c:ext xmlns:c15="http://schemas.microsoft.com/office/drawing/2012/chart" uri="{CE6537A1-D6FC-4f65-9D91-7224C49458BB}">
                <c15:showLeaderLines val="0"/>
              </c:ext>
            </c:extLst>
          </c:dLbls>
          <c:xVal>
            <c:numRef>
              <c:f>'HIW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'HIW vs Market'!$S$4:$S$13</c:f>
              <c:numCache>
                <c:formatCode>0.0%</c:formatCode>
                <c:ptCount val="10"/>
                <c:pt idx="0">
                  <c:v>0.0126707791495431</c:v>
                </c:pt>
                <c:pt idx="1">
                  <c:v>0.0213162225786963</c:v>
                </c:pt>
                <c:pt idx="2">
                  <c:v>0.0243920349541655</c:v>
                </c:pt>
                <c:pt idx="3">
                  <c:v>0.0181322182397452</c:v>
                </c:pt>
                <c:pt idx="4">
                  <c:v>0.0125287010127009</c:v>
                </c:pt>
                <c:pt idx="5">
                  <c:v>0.0468098093148315</c:v>
                </c:pt>
                <c:pt idx="6">
                  <c:v>0.0799083303502561</c:v>
                </c:pt>
                <c:pt idx="7">
                  <c:v>0.0412711105643382</c:v>
                </c:pt>
                <c:pt idx="8">
                  <c:v>0.0295205495187116</c:v>
                </c:pt>
                <c:pt idx="9">
                  <c:v>0.0263438083762091</c:v>
                </c:pt>
              </c:numCache>
            </c:numRef>
          </c:yVal>
          <c:smooth val="0"/>
        </c:ser>
        <c:axId val="37022780"/>
        <c:axId val="99029423"/>
      </c:scatterChart>
      <c:valAx>
        <c:axId val="37022780"/>
        <c:scaling>
          <c:orientation val="minMax"/>
        </c:scaling>
        <c:delete val="0"/>
        <c:axPos val="b"/>
        <c:numFmt formatCode="0" sourceLinked="0"/>
        <c:majorTickMark val="none"/>
        <c:minorTickMark val="none"/>
        <c:tickLblPos val="low"/>
        <c:spPr>
          <a:ln w="0">
            <a:solidFill>
              <a:srgbClr val="b3b3b3"/>
            </a:solidFill>
          </a:ln>
        </c:spPr>
        <c:txPr>
          <a:bodyPr/>
          <a:lstStyle/>
          <a:p>
            <a:pPr>
              <a:defRPr b="0" sz="1000" spc="-1" strike="noStrike">
                <a:solidFill>
                  <a:srgbClr val="000000"/>
                </a:solidFill>
                <a:latin typeface="Calibri"/>
              </a:defRPr>
            </a:pPr>
          </a:p>
        </c:txPr>
        <c:crossAx val="99029423"/>
        <c:crosses val="autoZero"/>
        <c:crossBetween val="midCat"/>
        <c:majorUnit val="1"/>
      </c:valAx>
      <c:valAx>
        <c:axId val="99029423"/>
        <c:scaling>
          <c:orientation val="minMax"/>
        </c:scaling>
        <c:delete val="0"/>
        <c:axPos val="l"/>
        <c:majorGridlines>
          <c:spPr>
            <a:ln w="0">
              <a:solidFill>
                <a:srgbClr val="b3b3b3"/>
              </a:solidFill>
            </a:ln>
          </c:spPr>
        </c:majorGridlines>
        <c:numFmt formatCode="0.0%"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37022780"/>
        <c:crosses val="autoZero"/>
        <c:crossBetween val="midCat"/>
      </c:valAx>
      <c:spPr>
        <a:noFill/>
        <a:ln w="0">
          <a:noFill/>
        </a:ln>
      </c:spPr>
    </c:plotArea>
    <c:legend>
      <c:legendPos val="b"/>
      <c:overlay val="0"/>
      <c:spPr>
        <a:noFill/>
        <a:ln w="0">
          <a:noFill/>
        </a:ln>
      </c:spPr>
      <c:txPr>
        <a:bodyPr/>
        <a:lstStyle/>
        <a:p>
          <a:pPr>
            <a:defRPr b="0" sz="1000" spc="-1" strike="noStrike">
              <a:solidFill>
                <a:srgbClr val="000000"/>
              </a:solidFill>
              <a:latin typeface="Calibri"/>
            </a:defRPr>
          </a:pPr>
        </a:p>
      </c:txPr>
    </c:legend>
    <c:plotVisOnly val="1"/>
    <c:dispBlanksAs val="gap"/>
  </c:chart>
  <c:spPr>
    <a:solidFill>
      <a:srgbClr val="ffffff"/>
    </a:solidFill>
    <a:ln w="9360">
      <a:solidFill>
        <a:srgbClr val="d9d9d9"/>
      </a:solidFill>
      <a:round/>
    </a:ln>
  </c:spPr>
</c:chartSpace>
</file>

<file path=xl/charts/chart29.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lang="en-US" sz="1200" spc="-1" strike="noStrike">
                <a:solidFill>
                  <a:srgbClr val="000000"/>
                </a:solidFill>
                <a:latin typeface="Calibri"/>
              </a:defRPr>
            </a:pPr>
            <a:r>
              <a:rPr b="1" lang="en-US" sz="1200" spc="-1" strike="noStrike">
                <a:solidFill>
                  <a:srgbClr val="000000"/>
                </a:solidFill>
                <a:latin typeface="Calibri"/>
              </a:rPr>
              <a:t>Valuation: Gross NOI Multiple (2016-2025)
HIW figures are aggregate, not per share; fully diluted units (shares plus OP and LTIP units) grew about 0.4% per year on average (2016-2025).</a:t>
            </a:r>
          </a:p>
        </c:rich>
      </c:tx>
      <c:overlay val="0"/>
      <c:spPr>
        <a:noFill/>
        <a:ln w="0">
          <a:noFill/>
        </a:ln>
      </c:spPr>
    </c:title>
    <c:autoTitleDeleted val="0"/>
    <c:plotArea>
      <c:layout>
        <c:manualLayout>
          <c:layoutTarget val="inner"/>
          <c:xMode val="edge"/>
          <c:yMode val="edge"/>
          <c:x val="0.100106002385054"/>
          <c:y val="0.160271228232393"/>
          <c:w val="0.79902610308732"/>
          <c:h val="0.619355832948066"/>
        </c:manualLayout>
      </c:layout>
      <c:scatterChart>
        <c:scatterStyle val="lineMarker"/>
        <c:varyColors val="0"/>
        <c:ser>
          <c:idx val="0"/>
          <c:order val="0"/>
          <c:tx>
            <c:strRef>
              <c:f>"Gross NOI Multiple (x)"</c:f>
              <c:strCache>
                <c:ptCount val="1"/>
                <c:pt idx="0">
                  <c:v>Gross NOI Multiple (x)</c:v>
                </c:pt>
              </c:strCache>
            </c:strRef>
          </c:tx>
          <c:spPr>
            <a:solidFill>
              <a:srgbClr val="a31f34"/>
            </a:solidFill>
            <a:ln w="28440">
              <a:solidFill>
                <a:srgbClr val="a31f34"/>
              </a:solidFill>
              <a:round/>
            </a:ln>
          </c:spPr>
          <c:marker>
            <c:symbol val="square"/>
            <c:size val="5"/>
            <c:spPr>
              <a:solidFill>
                <a:srgbClr val="a31f34"/>
              </a:solidFill>
            </c:spPr>
          </c:marker>
          <c:dPt>
            <c:idx val="0"/>
            <c:marker>
              <c:symbol val="square"/>
              <c:size val="5"/>
              <c:spPr>
                <a:solidFill>
                  <a:srgbClr val="a31f34"/>
                </a:solidFill>
              </c:spPr>
            </c:marker>
          </c:dPt>
          <c:dPt>
            <c:idx val="1"/>
            <c:marker>
              <c:symbol val="square"/>
              <c:size val="5"/>
              <c:spPr>
                <a:solidFill>
                  <a:srgbClr val="a31f34"/>
                </a:solidFill>
              </c:spPr>
            </c:marker>
          </c:dPt>
          <c:dPt>
            <c:idx val="2"/>
            <c:marker>
              <c:symbol val="square"/>
              <c:size val="5"/>
              <c:spPr>
                <a:solidFill>
                  <a:srgbClr val="a31f34"/>
                </a:solidFill>
              </c:spPr>
            </c:marker>
          </c:dPt>
          <c:dPt>
            <c:idx val="3"/>
            <c:marker>
              <c:symbol val="square"/>
              <c:size val="5"/>
              <c:spPr>
                <a:solidFill>
                  <a:srgbClr val="a31f34"/>
                </a:solidFill>
              </c:spPr>
            </c:marker>
          </c:dPt>
          <c:dPt>
            <c:idx val="4"/>
            <c:marker>
              <c:symbol val="square"/>
              <c:size val="5"/>
              <c:spPr>
                <a:solidFill>
                  <a:srgbClr val="a31f34"/>
                </a:solidFill>
              </c:spPr>
            </c:marker>
          </c:dPt>
          <c:dPt>
            <c:idx val="5"/>
            <c:marker>
              <c:symbol val="square"/>
              <c:size val="5"/>
              <c:spPr>
                <a:solidFill>
                  <a:srgbClr val="a31f34"/>
                </a:solidFill>
              </c:spPr>
            </c:marker>
          </c:dPt>
          <c:dPt>
            <c:idx val="6"/>
            <c:marker>
              <c:symbol val="square"/>
              <c:size val="5"/>
              <c:spPr>
                <a:solidFill>
                  <a:srgbClr val="a31f34"/>
                </a:solidFill>
              </c:spPr>
            </c:marker>
          </c:dPt>
          <c:dPt>
            <c:idx val="7"/>
            <c:marker>
              <c:symbol val="square"/>
              <c:size val="5"/>
              <c:spPr>
                <a:solidFill>
                  <a:srgbClr val="a31f34"/>
                </a:solidFill>
              </c:spPr>
            </c:marker>
          </c:dPt>
          <c:dPt>
            <c:idx val="8"/>
            <c:marker>
              <c:symbol val="square"/>
              <c:size val="5"/>
              <c:spPr>
                <a:solidFill>
                  <a:srgbClr val="a31f34"/>
                </a:solidFill>
              </c:spPr>
            </c:marker>
          </c:dPt>
          <c:dPt>
            <c:idx val="9"/>
            <c:marker>
              <c:symbol val="square"/>
              <c:size val="5"/>
              <c:spPr>
                <a:solidFill>
                  <a:srgbClr val="a31f34"/>
                </a:solidFill>
              </c:spPr>
            </c:marker>
          </c:dPt>
          <c:dLbls>
            <c:dLbl>
              <c:idx val="0"/>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1"/>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2"/>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3"/>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4"/>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5"/>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6"/>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7"/>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8"/>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9"/>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0"/>
            <c:extLst>
              <c:ext xmlns:c15="http://schemas.microsoft.com/office/drawing/2012/chart" uri="{CE6537A1-D6FC-4f65-9D91-7224C49458BB}">
                <c15:showLeaderLines val="0"/>
              </c:ext>
            </c:extLst>
          </c:dLbls>
          <c:xVal>
            <c:numRef>
              <c:f>'HIW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'HIW vs Market'!$J$4:$J$13</c:f>
              <c:numCache>
                <c:formatCode>0.0\x</c:formatCode>
                <c:ptCount val="10"/>
                <c:pt idx="0">
                  <c:v>15.8354018764282</c:v>
                </c:pt>
                <c:pt idx="1">
                  <c:v>15.319014015271</c:v>
                </c:pt>
                <c:pt idx="2">
                  <c:v>12.035057660902</c:v>
                </c:pt>
                <c:pt idx="3">
                  <c:v>15.3282406229742</c:v>
                </c:pt>
                <c:pt idx="4">
                  <c:v>12.3019956046132</c:v>
                </c:pt>
                <c:pt idx="5">
                  <c:v>13.7318398106744</c:v>
                </c:pt>
                <c:pt idx="6">
                  <c:v>10.2997869001956</c:v>
                </c:pt>
                <c:pt idx="7">
                  <c:v>9.25835535150341</c:v>
                </c:pt>
                <c:pt idx="8">
                  <c:v>11.0255423170769</c:v>
                </c:pt>
                <c:pt idx="9">
                  <c:v>10.7967782369171</c:v>
                </c:pt>
              </c:numCache>
            </c:numRef>
          </c:yVal>
          <c:smooth val="0"/>
        </c:ser>
        <c:axId val="96658263"/>
        <c:axId val="10000581"/>
      </c:scatterChart>
      <c:valAx>
        <c:axId val="96658263"/>
        <c:scaling>
          <c:orientation val="minMax"/>
        </c:scaling>
        <c:delete val="0"/>
        <c:axPos val="b"/>
        <c:numFmt formatCode="0" sourceLinked="0"/>
        <c:majorTickMark val="none"/>
        <c:minorTickMark val="none"/>
        <c:tickLblPos val="low"/>
        <c:spPr>
          <a:ln w="0">
            <a:solidFill>
              <a:srgbClr val="b3b3b3"/>
            </a:solidFill>
          </a:ln>
        </c:spPr>
        <c:txPr>
          <a:bodyPr/>
          <a:lstStyle/>
          <a:p>
            <a:pPr>
              <a:defRPr b="0" sz="1000" spc="-1" strike="noStrike">
                <a:solidFill>
                  <a:srgbClr val="000000"/>
                </a:solidFill>
                <a:latin typeface="Calibri"/>
              </a:defRPr>
            </a:pPr>
          </a:p>
        </c:txPr>
        <c:crossAx val="10000581"/>
        <c:crosses val="autoZero"/>
        <c:crossBetween val="midCat"/>
        <c:majorUnit val="1"/>
      </c:valAx>
      <c:valAx>
        <c:axId val="10000581"/>
        <c:scaling>
          <c:orientation val="minMax"/>
        </c:scaling>
        <c:delete val="0"/>
        <c:axPos val="l"/>
        <c:majorGridlines>
          <c:spPr>
            <a:ln w="0">
              <a:solidFill>
                <a:srgbClr val="b3b3b3"/>
              </a:solidFill>
            </a:ln>
          </c:spPr>
        </c:majorGridlines>
        <c:numFmt formatCode="0.0"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96658263"/>
        <c:crosses val="autoZero"/>
        <c:crossBetween val="midCat"/>
      </c:valAx>
      <c:spPr>
        <a:noFill/>
        <a:ln w="0">
          <a:noFill/>
        </a:ln>
      </c:spPr>
    </c:plotArea>
    <c:plotVisOnly val="1"/>
    <c:dispBlanksAs val="gap"/>
  </c:chart>
  <c:spPr>
    <a:solidFill>
      <a:srgbClr val="ffffff"/>
    </a:solidFill>
    <a:ln w="9360">
      <a:solidFill>
        <a:srgbClr val="d9d9d9"/>
      </a:solidFill>
      <a:round/>
    </a:ln>
  </c:spPr>
</c:chartSpace>
</file>

<file path=xl/charts/chart3.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lang="en-US" sz="1200" spc="-1" strike="noStrike">
                <a:solidFill>
                  <a:srgbClr val="000000"/>
                </a:solidFill>
                <a:latin typeface="Calibri"/>
              </a:defRPr>
            </a:pPr>
            <a:r>
              <a:rPr b="1" lang="en-US" sz="1200" spc="-1" strike="noStrike">
                <a:solidFill>
                  <a:srgbClr val="000000"/>
                </a:solidFill>
                <a:latin typeface="Calibri"/>
              </a:rPr>
              <a:t>Valuation: Gross NOI Multiple (2016-2025)
BXP figures are aggregate, not per share; fully diluted units (shares plus OP and LTIP units) grew about 0.4% per year on average (2016-2025).</a:t>
            </a:r>
          </a:p>
        </c:rich>
      </c:tx>
      <c:overlay val="0"/>
      <c:spPr>
        <a:noFill/>
        <a:ln w="0">
          <a:noFill/>
        </a:ln>
      </c:spPr>
    </c:title>
    <c:autoTitleDeleted val="0"/>
    <c:plotArea>
      <c:layout>
        <c:manualLayout>
          <c:layoutTarget val="inner"/>
          <c:xMode val="edge"/>
          <c:yMode val="edge"/>
          <c:x val="0.100072876639724"/>
          <c:y val="0.160271228232393"/>
          <c:w val="0.799092354577978"/>
          <c:h val="0.619355832948066"/>
        </c:manualLayout>
      </c:layout>
      <c:scatterChart>
        <c:scatterStyle val="lineMarker"/>
        <c:varyColors val="0"/>
        <c:ser>
          <c:idx val="0"/>
          <c:order val="0"/>
          <c:tx>
            <c:strRef>
              <c:f>"Gross NOI Multiple (x)"</c:f>
              <c:strCache>
                <c:ptCount val="1"/>
                <c:pt idx="0">
                  <c:v>Gross NOI Multiple (x)</c:v>
                </c:pt>
              </c:strCache>
            </c:strRef>
          </c:tx>
          <c:spPr>
            <a:solidFill>
              <a:srgbClr val="a31f34"/>
            </a:solidFill>
            <a:ln w="28440">
              <a:solidFill>
                <a:srgbClr val="a31f34"/>
              </a:solidFill>
              <a:round/>
            </a:ln>
          </c:spPr>
          <c:marker>
            <c:symbol val="square"/>
            <c:size val="5"/>
            <c:spPr>
              <a:solidFill>
                <a:srgbClr val="a31f34"/>
              </a:solidFill>
            </c:spPr>
          </c:marker>
          <c:dPt>
            <c:idx val="0"/>
            <c:marker>
              <c:symbol val="square"/>
              <c:size val="5"/>
              <c:spPr>
                <a:solidFill>
                  <a:srgbClr val="a31f34"/>
                </a:solidFill>
              </c:spPr>
            </c:marker>
          </c:dPt>
          <c:dPt>
            <c:idx val="1"/>
            <c:marker>
              <c:symbol val="square"/>
              <c:size val="5"/>
              <c:spPr>
                <a:solidFill>
                  <a:srgbClr val="a31f34"/>
                </a:solidFill>
              </c:spPr>
            </c:marker>
          </c:dPt>
          <c:dPt>
            <c:idx val="2"/>
            <c:marker>
              <c:symbol val="square"/>
              <c:size val="5"/>
              <c:spPr>
                <a:solidFill>
                  <a:srgbClr val="a31f34"/>
                </a:solidFill>
              </c:spPr>
            </c:marker>
          </c:dPt>
          <c:dPt>
            <c:idx val="3"/>
            <c:marker>
              <c:symbol val="square"/>
              <c:size val="5"/>
              <c:spPr>
                <a:solidFill>
                  <a:srgbClr val="a31f34"/>
                </a:solidFill>
              </c:spPr>
            </c:marker>
          </c:dPt>
          <c:dPt>
            <c:idx val="4"/>
            <c:marker>
              <c:symbol val="square"/>
              <c:size val="5"/>
              <c:spPr>
                <a:solidFill>
                  <a:srgbClr val="a31f34"/>
                </a:solidFill>
              </c:spPr>
            </c:marker>
          </c:dPt>
          <c:dPt>
            <c:idx val="5"/>
            <c:marker>
              <c:symbol val="square"/>
              <c:size val="5"/>
              <c:spPr>
                <a:solidFill>
                  <a:srgbClr val="a31f34"/>
                </a:solidFill>
              </c:spPr>
            </c:marker>
          </c:dPt>
          <c:dPt>
            <c:idx val="6"/>
            <c:marker>
              <c:symbol val="square"/>
              <c:size val="5"/>
              <c:spPr>
                <a:solidFill>
                  <a:srgbClr val="a31f34"/>
                </a:solidFill>
              </c:spPr>
            </c:marker>
          </c:dPt>
          <c:dPt>
            <c:idx val="7"/>
            <c:marker>
              <c:symbol val="square"/>
              <c:size val="5"/>
              <c:spPr>
                <a:solidFill>
                  <a:srgbClr val="a31f34"/>
                </a:solidFill>
              </c:spPr>
            </c:marker>
          </c:dPt>
          <c:dPt>
            <c:idx val="8"/>
            <c:marker>
              <c:symbol val="square"/>
              <c:size val="5"/>
              <c:spPr>
                <a:solidFill>
                  <a:srgbClr val="a31f34"/>
                </a:solidFill>
              </c:spPr>
            </c:marker>
          </c:dPt>
          <c:dPt>
            <c:idx val="9"/>
            <c:marker>
              <c:symbol val="square"/>
              <c:size val="5"/>
              <c:spPr>
                <a:solidFill>
                  <a:srgbClr val="a31f34"/>
                </a:solidFill>
              </c:spPr>
            </c:marker>
          </c:dPt>
          <c:dLbls>
            <c:dLbl>
              <c:idx val="0"/>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1"/>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2"/>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3"/>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4"/>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5"/>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6"/>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7"/>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8"/>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9"/>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0"/>
            <c:extLst>
              <c:ext xmlns:c15="http://schemas.microsoft.com/office/drawing/2012/chart" uri="{CE6537A1-D6FC-4f65-9D91-7224C49458BB}">
                <c15:showLeaderLines val="0"/>
              </c:ext>
            </c:extLst>
          </c:dLbls>
          <c:xVal>
            <c:numRef>
              <c:f>'BXP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'BXP vs Market'!$J$4:$J$13</c:f>
              <c:numCache>
                <c:formatCode>0.0\x</c:formatCode>
                <c:ptCount val="10"/>
                <c:pt idx="0">
                  <c:v>19.8900369238383</c:v>
                </c:pt>
                <c:pt idx="1">
                  <c:v>20.5699318752433</c:v>
                </c:pt>
                <c:pt idx="2">
                  <c:v>19.0090789848451</c:v>
                </c:pt>
                <c:pt idx="3">
                  <c:v>19.8612778572866</c:v>
                </c:pt>
                <c:pt idx="4">
                  <c:v>17.3721715901117</c:v>
                </c:pt>
                <c:pt idx="5">
                  <c:v>18.193333425513</c:v>
                </c:pt>
                <c:pt idx="6">
                  <c:v>13.3658689369762</c:v>
                </c:pt>
                <c:pt idx="7">
                  <c:v>13.7341820492126</c:v>
                </c:pt>
                <c:pt idx="8">
                  <c:v>14.0462198446012</c:v>
                </c:pt>
                <c:pt idx="9">
                  <c:v>13.3567909509633</c:v>
                </c:pt>
              </c:numCache>
            </c:numRef>
          </c:yVal>
          <c:smooth val="0"/>
        </c:ser>
        <c:axId val="2900602"/>
        <c:axId val="29953483"/>
      </c:scatterChart>
      <c:valAx>
        <c:axId val="2900602"/>
        <c:scaling>
          <c:orientation val="minMax"/>
        </c:scaling>
        <c:delete val="0"/>
        <c:axPos val="b"/>
        <c:numFmt formatCode="0" sourceLinked="0"/>
        <c:majorTickMark val="none"/>
        <c:minorTickMark val="none"/>
        <c:tickLblPos val="low"/>
        <c:spPr>
          <a:ln w="0">
            <a:solidFill>
              <a:srgbClr val="b3b3b3"/>
            </a:solidFill>
          </a:ln>
        </c:spPr>
        <c:txPr>
          <a:bodyPr/>
          <a:lstStyle/>
          <a:p>
            <a:pPr>
              <a:defRPr b="0" sz="1000" spc="-1" strike="noStrike">
                <a:solidFill>
                  <a:srgbClr val="000000"/>
                </a:solidFill>
                <a:latin typeface="Calibri"/>
              </a:defRPr>
            </a:pPr>
          </a:p>
        </c:txPr>
        <c:crossAx val="29953483"/>
        <c:crosses val="autoZero"/>
        <c:crossBetween val="midCat"/>
        <c:majorUnit val="1"/>
      </c:valAx>
      <c:valAx>
        <c:axId val="29953483"/>
        <c:scaling>
          <c:orientation val="minMax"/>
        </c:scaling>
        <c:delete val="0"/>
        <c:axPos val="l"/>
        <c:majorGridlines>
          <c:spPr>
            <a:ln w="0">
              <a:solidFill>
                <a:srgbClr val="b3b3b3"/>
              </a:solidFill>
            </a:ln>
          </c:spPr>
        </c:majorGridlines>
        <c:numFmt formatCode="0.0"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2900602"/>
        <c:crosses val="autoZero"/>
        <c:crossBetween val="midCat"/>
      </c:valAx>
      <c:spPr>
        <a:noFill/>
        <a:ln w="0">
          <a:noFill/>
        </a:ln>
      </c:spPr>
    </c:plotArea>
    <c:plotVisOnly val="1"/>
    <c:dispBlanksAs val="gap"/>
  </c:chart>
  <c:spPr>
    <a:solidFill>
      <a:srgbClr val="ffffff"/>
    </a:solidFill>
    <a:ln w="9360">
      <a:solidFill>
        <a:srgbClr val="d9d9d9"/>
      </a:solidFill>
      <a:round/>
    </a:ln>
  </c:spPr>
</c:chartSpace>
</file>

<file path=xl/charts/chart30.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lang="en-US" sz="1800" spc="-1" strike="noStrike">
                <a:solidFill>
                  <a:srgbClr val="000000"/>
                </a:solidFill>
                <a:latin typeface="Calibri"/>
              </a:defRPr>
            </a:pPr>
            <a:r>
              <a:rPr b="1" lang="en-US" sz="1800" spc="-1" strike="noStrike">
                <a:solidFill>
                  <a:srgbClr val="000000"/>
                </a:solidFill>
                <a:latin typeface="Calibri"/>
              </a:rPr>
              <a:t>HIW Stabilized Implied Cap Rate vs. 10-Yr UST, with Spread (2016-2025)</a:t>
            </a:r>
          </a:p>
        </c:rich>
      </c:tx>
      <c:overlay val="0"/>
      <c:spPr>
        <a:noFill/>
        <a:ln w="0">
          <a:noFill/>
        </a:ln>
      </c:spPr>
    </c:title>
    <c:autoTitleDeleted val="0"/>
    <c:plotArea>
      <c:layout>
        <c:manualLayout>
          <c:layoutTarget val="inner"/>
          <c:xMode val="edge"/>
          <c:yMode val="edge"/>
          <c:x val="0.100106002385054"/>
          <c:y val="0.140237324703344"/>
          <c:w val="0.79902610308732"/>
          <c:h val="0.679457543535214"/>
        </c:manualLayout>
      </c:layout>
      <c:barChart>
        <c:barDir val="col"/>
        <c:grouping val="clustered"/>
        <c:varyColors val="0"/>
        <c:ser>
          <c:idx val="0"/>
          <c:order val="0"/>
          <c:tx>
            <c:strRef>
              <c:f>'HIW vs Market'!$D$3</c:f>
              <c:strCache>
                <c:ptCount val="1"/>
                <c:pt idx="0">
                  <c:v>Spread: Cap Rate less UST (pp)</c:v>
                </c:pt>
              </c:strCache>
            </c:strRef>
          </c:tx>
          <c:spPr>
            <a:solidFill>
              <a:srgbClr val="d9a0a8"/>
            </a:solidFill>
            <a:ln w="0">
              <a:solidFill>
                <a:srgbClr val="b87b85"/>
              </a:solidFill>
            </a:ln>
          </c:spPr>
          <c:invertIfNegative val="0"/>
          <c:dLbls>
            <c:txPr>
              <a:bodyPr wrap="square"/>
              <a:lstStyle/>
              <a:p>
                <a:pPr>
                  <a:defRPr b="0" sz="1000" spc="-1" strike="noStrike">
                    <a:solidFill>
                      <a:srgbClr val="000000"/>
                    </a:solidFill>
                    <a:latin typeface="Calibri"/>
                  </a:defRPr>
                </a:pPr>
              </a:p>
            </c:txPr>
            <c:dLblPos val="outEnd"/>
            <c:showLegendKey val="0"/>
            <c:showVal val="0"/>
            <c:showCatName val="0"/>
            <c:showSerName val="0"/>
            <c:showPercent val="0"/>
            <c:separator>; </c:separator>
            <c:showLeaderLines val="0"/>
            <c:extLst>
              <c:ext xmlns:c15="http://schemas.microsoft.com/office/drawing/2012/chart" uri="{CE6537A1-D6FC-4f65-9D91-7224C49458BB}">
                <c15:showLeaderLines val="0"/>
              </c:ext>
            </c:extLst>
          </c:dLbls>
          <c:cat>
            <c:strRef>
              <c:f>'HIW vs Market'!$A$4:$A$13</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f>'HIW vs Market'!$D$4:$D$13</c:f>
              <c:numCache>
                <c:formatCode>0.00%</c:formatCode>
                <c:ptCount val="10"/>
                <c:pt idx="0">
                  <c:v>0.0386496445624503</c:v>
                </c:pt>
                <c:pt idx="1">
                  <c:v>0.0412783527061945</c:v>
                </c:pt>
                <c:pt idx="2">
                  <c:v>0.0561905865327657</c:v>
                </c:pt>
                <c:pt idx="3">
                  <c:v>0.0460390593673995</c:v>
                </c:pt>
                <c:pt idx="4">
                  <c:v>0.0719876245562147</c:v>
                </c:pt>
                <c:pt idx="5">
                  <c:v>0.0576234536513202</c:v>
                </c:pt>
                <c:pt idx="6">
                  <c:v>0.0582893873523745</c:v>
                </c:pt>
                <c:pt idx="7">
                  <c:v>0.0692105442094114</c:v>
                </c:pt>
                <c:pt idx="8">
                  <c:v>0.044898486409249</c:v>
                </c:pt>
                <c:pt idx="9">
                  <c:v>0.050820222260445</c:v>
                </c:pt>
              </c:numCache>
            </c:numRef>
          </c:val>
        </c:ser>
        <c:gapWidth val="80"/>
        <c:overlap val="0"/>
        <c:axId val="91866259"/>
        <c:axId val="81061766"/>
      </c:barChart>
      <c:lineChart>
        <c:grouping val="standard"/>
        <c:varyColors val="0"/>
        <c:ser>
          <c:idx val="1"/>
          <c:order val="1"/>
          <c:tx>
            <c:strRef>
              <c:f>'HIW vs Market'!$B$3</c:f>
              <c:strCache>
                <c:ptCount val="1"/>
                <c:pt idx="0">
                  <c:v>HIW Stabilized Implied Cap Rate (%)</c:v>
                </c:pt>
              </c:strCache>
            </c:strRef>
          </c:tx>
          <c:spPr>
            <a:solidFill>
              <a:srgbClr val="a31f34"/>
            </a:solidFill>
            <a:ln w="28080">
              <a:solidFill>
                <a:srgbClr val="a31f34"/>
              </a:solidFill>
              <a:round/>
            </a:ln>
          </c:spPr>
          <c:marker>
            <c:symbol val="circle"/>
            <c:size val="6"/>
            <c:spPr>
              <a:solidFill>
                <a:srgbClr val="a31f34"/>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0"/>
            <c:extLst>
              <c:ext xmlns:c15="http://schemas.microsoft.com/office/drawing/2012/chart" uri="{CE6537A1-D6FC-4f65-9D91-7224C49458BB}">
                <c15:showLeaderLines val="0"/>
              </c:ext>
            </c:extLst>
          </c:dLbls>
          <c:cat>
            <c:strRef>
              <c:f>'HIW vs Market'!$A$4:$A$13</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f>'HIW vs Market'!$B$4:$B$13</c:f>
              <c:numCache>
                <c:formatCode>0.00%</c:formatCode>
                <c:ptCount val="10"/>
                <c:pt idx="0">
                  <c:v>0.0631496445624503</c:v>
                </c:pt>
                <c:pt idx="1">
                  <c:v>0.0652783527061945</c:v>
                </c:pt>
                <c:pt idx="2">
                  <c:v>0.0830905865327657</c:v>
                </c:pt>
                <c:pt idx="3">
                  <c:v>0.0652390593673995</c:v>
                </c:pt>
                <c:pt idx="4">
                  <c:v>0.0812876245562147</c:v>
                </c:pt>
                <c:pt idx="5">
                  <c:v>0.0728234536513202</c:v>
                </c:pt>
                <c:pt idx="6">
                  <c:v>0.0970893873523745</c:v>
                </c:pt>
                <c:pt idx="7">
                  <c:v>0.108010544209411</c:v>
                </c:pt>
                <c:pt idx="8">
                  <c:v>0.090698486409249</c:v>
                </c:pt>
                <c:pt idx="9">
                  <c:v>0.092620222260445</c:v>
                </c:pt>
              </c:numCache>
            </c:numRef>
          </c:val>
          <c:smooth val="0"/>
        </c:ser>
        <c:ser>
          <c:idx val="2"/>
          <c:order val="2"/>
          <c:tx>
            <c:strRef>
              <c:f>'HIW vs Market'!$C$3</c:f>
              <c:strCache>
                <c:ptCount val="1"/>
                <c:pt idx="0">
                  <c:v>10-Yr UST Yield (%)</c:v>
                </c:pt>
              </c:strCache>
            </c:strRef>
          </c:tx>
          <c:spPr>
            <a:solidFill>
              <a:srgbClr val="3a3a3a"/>
            </a:solidFill>
            <a:ln w="28080">
              <a:solidFill>
                <a:srgbClr val="3a3a3a"/>
              </a:solidFill>
              <a:round/>
            </a:ln>
          </c:spPr>
          <c:marker>
            <c:symbol val="circle"/>
            <c:size val="6"/>
            <c:spPr>
              <a:solidFill>
                <a:srgbClr val="3a3a3a"/>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0"/>
            <c:extLst>
              <c:ext xmlns:c15="http://schemas.microsoft.com/office/drawing/2012/chart" uri="{CE6537A1-D6FC-4f65-9D91-7224C49458BB}">
                <c15:showLeaderLines val="0"/>
              </c:ext>
            </c:extLst>
          </c:dLbls>
          <c:cat>
            <c:strRef>
              <c:f>'HIW vs Market'!$A$4:$A$13</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f>'HIW vs Market'!$C$4:$C$13</c:f>
              <c:numCache>
                <c:formatCode>0.00%</c:formatCode>
                <c:ptCount val="10"/>
                <c:pt idx="0">
                  <c:v>0.0245</c:v>
                </c:pt>
                <c:pt idx="1">
                  <c:v>0.024</c:v>
                </c:pt>
                <c:pt idx="2">
                  <c:v>0.0269</c:v>
                </c:pt>
                <c:pt idx="3">
                  <c:v>0.0192</c:v>
                </c:pt>
                <c:pt idx="4">
                  <c:v>0.0093</c:v>
                </c:pt>
                <c:pt idx="5">
                  <c:v>0.0152</c:v>
                </c:pt>
                <c:pt idx="6">
                  <c:v>0.0388</c:v>
                </c:pt>
                <c:pt idx="7">
                  <c:v>0.0388</c:v>
                </c:pt>
                <c:pt idx="8">
                  <c:v>0.0458</c:v>
                </c:pt>
                <c:pt idx="9">
                  <c:v>0.0418</c:v>
                </c:pt>
              </c:numCache>
            </c:numRef>
          </c:val>
          <c:smooth val="0"/>
        </c:ser>
        <c:hiLowLines>
          <c:spPr>
            <a:ln w="0">
              <a:noFill/>
            </a:ln>
          </c:spPr>
        </c:hiLowLines>
        <c:marker val="1"/>
        <c:axId val="30218285"/>
        <c:axId val="91582543"/>
      </c:lineChart>
      <c:catAx>
        <c:axId val="91866259"/>
        <c:scaling>
          <c:orientation val="minMax"/>
        </c:scaling>
        <c:delete val="0"/>
        <c:axPos val="b"/>
        <c:numFmt formatCode="General" sourceLinked="0"/>
        <c:majorTickMark val="none"/>
        <c:minorTickMark val="none"/>
        <c:tickLblPos val="low"/>
        <c:spPr>
          <a:ln w="0">
            <a:solidFill>
              <a:srgbClr val="b3b3b3"/>
            </a:solidFill>
          </a:ln>
        </c:spPr>
        <c:txPr>
          <a:bodyPr/>
          <a:lstStyle/>
          <a:p>
            <a:pPr>
              <a:defRPr b="0" sz="1000" spc="-1" strike="noStrike">
                <a:solidFill>
                  <a:srgbClr val="000000"/>
                </a:solidFill>
                <a:latin typeface="Calibri"/>
              </a:defRPr>
            </a:pPr>
          </a:p>
        </c:txPr>
        <c:crossAx val="81061766"/>
        <c:crosses val="autoZero"/>
        <c:auto val="1"/>
        <c:lblAlgn val="ctr"/>
        <c:lblOffset val="100"/>
        <c:noMultiLvlLbl val="0"/>
      </c:catAx>
      <c:valAx>
        <c:axId val="81061766"/>
        <c:scaling>
          <c:orientation val="minMax"/>
        </c:scaling>
        <c:delete val="0"/>
        <c:axPos val="l"/>
        <c:majorGridlines>
          <c:spPr>
            <a:ln w="0">
              <a:solidFill>
                <a:srgbClr val="b3b3b3"/>
              </a:solidFill>
            </a:ln>
          </c:spPr>
        </c:majorGridlines>
        <c:title>
          <c:tx>
            <c:rich>
              <a:bodyPr rot="-5400000"/>
              <a:lstStyle/>
              <a:p>
                <a:pPr>
                  <a:defRPr b="1" lang="en-US" sz="1000" spc="-1" strike="noStrike">
                    <a:solidFill>
                      <a:srgbClr val="000000"/>
                    </a:solidFill>
                    <a:latin typeface="Calibri"/>
                  </a:defRPr>
                </a:pPr>
                <a:r>
                  <a:rPr b="1" lang="en-US" sz="1000" spc="-1" strike="noStrike">
                    <a:solidFill>
                      <a:srgbClr val="000000"/>
                    </a:solidFill>
                    <a:latin typeface="Calibri"/>
                  </a:rPr>
                  <a:t>Spread (pct pts)</a:t>
                </a:r>
              </a:p>
            </c:rich>
          </c:tx>
          <c:overlay val="0"/>
          <c:spPr>
            <a:noFill/>
            <a:ln w="0">
              <a:noFill/>
            </a:ln>
          </c:spPr>
        </c:title>
        <c:numFmt formatCode="0.0%"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91866259"/>
        <c:crosses val="autoZero"/>
        <c:crossBetween val="between"/>
      </c:valAx>
      <c:catAx>
        <c:axId val="30218285"/>
        <c:scaling>
          <c:orientation val="minMax"/>
        </c:scaling>
        <c:delete val="1"/>
        <c:axPos val="t"/>
        <c:numFmt formatCode="General" sourceLinked="1"/>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91582543"/>
        <c:auto val="1"/>
        <c:lblAlgn val="ctr"/>
        <c:lblOffset val="100"/>
        <c:noMultiLvlLbl val="0"/>
      </c:catAx>
      <c:valAx>
        <c:axId val="91582543"/>
        <c:scaling>
          <c:orientation val="minMax"/>
        </c:scaling>
        <c:delete val="0"/>
        <c:axPos val="r"/>
        <c:title>
          <c:tx>
            <c:rich>
              <a:bodyPr rot="-5400000"/>
              <a:lstStyle/>
              <a:p>
                <a:pPr>
                  <a:defRPr b="1" lang="en-US" sz="1000" spc="-1" strike="noStrike">
                    <a:solidFill>
                      <a:srgbClr val="000000"/>
                    </a:solidFill>
                    <a:latin typeface="Calibri"/>
                  </a:defRPr>
                </a:pPr>
                <a:r>
                  <a:rPr b="1" lang="en-US" sz="1000" spc="-1" strike="noStrike">
                    <a:solidFill>
                      <a:srgbClr val="000000"/>
                    </a:solidFill>
                    <a:latin typeface="Calibri"/>
                  </a:rPr>
                  <a:t>Yield (%)</a:t>
                </a:r>
              </a:p>
            </c:rich>
          </c:tx>
          <c:overlay val="0"/>
          <c:spPr>
            <a:noFill/>
            <a:ln w="0">
              <a:noFill/>
            </a:ln>
          </c:spPr>
        </c:title>
        <c:numFmt formatCode="0.0%"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30218285"/>
        <c:crosses val="max"/>
        <c:crossBetween val="between"/>
      </c:valAx>
      <c:spPr>
        <a:noFill/>
        <a:ln w="0">
          <a:noFill/>
        </a:ln>
      </c:spPr>
    </c:plotArea>
    <c:legend>
      <c:legendPos val="b"/>
      <c:overlay val="0"/>
      <c:spPr>
        <a:noFill/>
        <a:ln w="0">
          <a:noFill/>
        </a:ln>
      </c:spPr>
      <c:txPr>
        <a:bodyPr/>
        <a:lstStyle/>
        <a:p>
          <a:pPr>
            <a:defRPr b="0" sz="1000" spc="-1" strike="noStrike">
              <a:solidFill>
                <a:srgbClr val="000000"/>
              </a:solidFill>
              <a:latin typeface="Calibri"/>
            </a:defRPr>
          </a:pPr>
        </a:p>
      </c:txPr>
    </c:legend>
    <c:plotVisOnly val="1"/>
    <c:dispBlanksAs val="gap"/>
  </c:chart>
  <c:spPr>
    <a:solidFill>
      <a:srgbClr val="ffffff"/>
    </a:solidFill>
    <a:ln w="9360">
      <a:solidFill>
        <a:srgbClr val="d9d9d9"/>
      </a:solidFill>
      <a:round/>
    </a:ln>
  </c:spPr>
</c:chartSpace>
</file>

<file path=xl/charts/chart31.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lang="en-US" sz="1800" spc="-1" strike="noStrike">
                <a:solidFill>
                  <a:srgbClr val="000000"/>
                </a:solidFill>
                <a:latin typeface="Calibri"/>
              </a:defRPr>
            </a:pPr>
            <a:r>
              <a:rPr b="1" lang="en-US" sz="1800" spc="-1" strike="noStrike">
                <a:solidFill>
                  <a:srgbClr val="000000"/>
                </a:solidFill>
                <a:latin typeface="Calibri"/>
              </a:rPr>
              <a:t>HIW: Cap Rate vs. Leveraged Equity Yield (2016-2025)</a:t>
            </a:r>
          </a:p>
        </c:rich>
      </c:tx>
      <c:overlay val="0"/>
      <c:spPr>
        <a:noFill/>
        <a:ln w="0">
          <a:noFill/>
        </a:ln>
      </c:spPr>
    </c:title>
    <c:autoTitleDeleted val="0"/>
    <c:plotArea>
      <c:layout>
        <c:manualLayout>
          <c:layoutTarget val="inner"/>
          <c:xMode val="edge"/>
          <c:yMode val="edge"/>
          <c:x val="0.100106002385054"/>
          <c:y val="0.140237324703344"/>
          <c:w val="0.79902610308732"/>
          <c:h val="0.679457543535214"/>
        </c:manualLayout>
      </c:layout>
      <c:barChart>
        <c:barDir val="col"/>
        <c:grouping val="clustered"/>
        <c:varyColors val="0"/>
        <c:ser>
          <c:idx val="0"/>
          <c:order val="0"/>
          <c:tx>
            <c:strRef>
              <c:f>'HIW vs Market'!$F$3</c:f>
              <c:strCache>
                <c:ptCount val="1"/>
                <c:pt idx="0">
                  <c:v>Leverage Contribution: Lev Yield less Cap Rate (pp)</c:v>
                </c:pt>
              </c:strCache>
            </c:strRef>
          </c:tx>
          <c:spPr>
            <a:solidFill>
              <a:srgbClr val="9dbb9d"/>
            </a:solidFill>
            <a:ln w="0">
              <a:solidFill>
                <a:srgbClr val="7a9a7a"/>
              </a:solidFill>
            </a:ln>
          </c:spPr>
          <c:invertIfNegative val="0"/>
          <c:dLbls>
            <c:txPr>
              <a:bodyPr wrap="square"/>
              <a:lstStyle/>
              <a:p>
                <a:pPr>
                  <a:defRPr b="0" sz="1000" spc="-1" strike="noStrike">
                    <a:solidFill>
                      <a:srgbClr val="000000"/>
                    </a:solidFill>
                    <a:latin typeface="Calibri"/>
                  </a:defRPr>
                </a:pPr>
              </a:p>
            </c:txPr>
            <c:dLblPos val="outEnd"/>
            <c:showLegendKey val="0"/>
            <c:showVal val="0"/>
            <c:showCatName val="0"/>
            <c:showSerName val="0"/>
            <c:showPercent val="0"/>
            <c:separator>; </c:separator>
            <c:showLeaderLines val="0"/>
            <c:extLst>
              <c:ext xmlns:c15="http://schemas.microsoft.com/office/drawing/2012/chart" uri="{CE6537A1-D6FC-4f65-9D91-7224C49458BB}">
                <c15:showLeaderLines val="0"/>
              </c:ext>
            </c:extLst>
          </c:dLbls>
          <c:cat>
            <c:strRef>
              <c:f>'HIW vs Market'!$A$4:$A$13</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f>'HIW vs Market'!$F$4:$F$13</c:f>
              <c:numCache>
                <c:formatCode>0.00%</c:formatCode>
                <c:ptCount val="10"/>
                <c:pt idx="0">
                  <c:v>0.00992136403851827</c:v>
                </c:pt>
                <c:pt idx="1">
                  <c:v>0.0127446590556884</c:v>
                </c:pt>
                <c:pt idx="2">
                  <c:v>0.0289852979666338</c:v>
                </c:pt>
                <c:pt idx="3">
                  <c:v>0.017811181014156</c:v>
                </c:pt>
                <c:pt idx="4">
                  <c:v>0.0333188504765544</c:v>
                </c:pt>
                <c:pt idx="5">
                  <c:v>0.026967774157094</c:v>
                </c:pt>
                <c:pt idx="6">
                  <c:v>0.0799492694459473</c:v>
                </c:pt>
                <c:pt idx="7">
                  <c:v>0.109151347488711</c:v>
                </c:pt>
                <c:pt idx="8">
                  <c:v>0.0561600001127995</c:v>
                </c:pt>
                <c:pt idx="9">
                  <c:v>0.0790987796443155</c:v>
                </c:pt>
              </c:numCache>
            </c:numRef>
          </c:val>
        </c:ser>
        <c:gapWidth val="80"/>
        <c:overlap val="0"/>
        <c:axId val="48152648"/>
        <c:axId val="20408939"/>
      </c:barChart>
      <c:lineChart>
        <c:grouping val="standard"/>
        <c:varyColors val="0"/>
        <c:ser>
          <c:idx val="1"/>
          <c:order val="1"/>
          <c:tx>
            <c:strRef>
              <c:f>'HIW vs Market'!$B$3</c:f>
              <c:strCache>
                <c:ptCount val="1"/>
                <c:pt idx="0">
                  <c:v>HIW Stabilized Implied Cap Rate (%)</c:v>
                </c:pt>
              </c:strCache>
            </c:strRef>
          </c:tx>
          <c:spPr>
            <a:solidFill>
              <a:srgbClr val="a31f34"/>
            </a:solidFill>
            <a:ln w="28080">
              <a:solidFill>
                <a:srgbClr val="a31f34"/>
              </a:solidFill>
              <a:round/>
            </a:ln>
          </c:spPr>
          <c:marker>
            <c:symbol val="circle"/>
            <c:size val="6"/>
            <c:spPr>
              <a:solidFill>
                <a:srgbClr val="a31f34"/>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0"/>
            <c:extLst>
              <c:ext xmlns:c15="http://schemas.microsoft.com/office/drawing/2012/chart" uri="{CE6537A1-D6FC-4f65-9D91-7224C49458BB}">
                <c15:showLeaderLines val="0"/>
              </c:ext>
            </c:extLst>
          </c:dLbls>
          <c:cat>
            <c:strRef>
              <c:f>'HIW vs Market'!$A$4:$A$13</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f>'HIW vs Market'!$B$4:$B$13</c:f>
              <c:numCache>
                <c:formatCode>0.00%</c:formatCode>
                <c:ptCount val="10"/>
                <c:pt idx="0">
                  <c:v>0.0631496445624503</c:v>
                </c:pt>
                <c:pt idx="1">
                  <c:v>0.0652783527061945</c:v>
                </c:pt>
                <c:pt idx="2">
                  <c:v>0.0830905865327657</c:v>
                </c:pt>
                <c:pt idx="3">
                  <c:v>0.0652390593673995</c:v>
                </c:pt>
                <c:pt idx="4">
                  <c:v>0.0812876245562147</c:v>
                </c:pt>
                <c:pt idx="5">
                  <c:v>0.0728234536513202</c:v>
                </c:pt>
                <c:pt idx="6">
                  <c:v>0.0970893873523745</c:v>
                </c:pt>
                <c:pt idx="7">
                  <c:v>0.108010544209411</c:v>
                </c:pt>
                <c:pt idx="8">
                  <c:v>0.090698486409249</c:v>
                </c:pt>
                <c:pt idx="9">
                  <c:v>0.092620222260445</c:v>
                </c:pt>
              </c:numCache>
            </c:numRef>
          </c:val>
          <c:smooth val="0"/>
        </c:ser>
        <c:ser>
          <c:idx val="2"/>
          <c:order val="2"/>
          <c:tx>
            <c:strRef>
              <c:f>'HIW vs Market'!$E$3</c:f>
              <c:strCache>
                <c:ptCount val="1"/>
                <c:pt idx="0">
                  <c:v>HIW Stabilized Leveraged Equity Yield (%)</c:v>
                </c:pt>
              </c:strCache>
            </c:strRef>
          </c:tx>
          <c:spPr>
            <a:solidFill>
              <a:srgbClr val="3a3a3a"/>
            </a:solidFill>
            <a:ln w="28080">
              <a:solidFill>
                <a:srgbClr val="3a3a3a"/>
              </a:solidFill>
              <a:round/>
            </a:ln>
          </c:spPr>
          <c:marker>
            <c:symbol val="circle"/>
            <c:size val="6"/>
            <c:spPr>
              <a:solidFill>
                <a:srgbClr val="3a3a3a"/>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0"/>
            <c:extLst>
              <c:ext xmlns:c15="http://schemas.microsoft.com/office/drawing/2012/chart" uri="{CE6537A1-D6FC-4f65-9D91-7224C49458BB}">
                <c15:showLeaderLines val="0"/>
              </c:ext>
            </c:extLst>
          </c:dLbls>
          <c:cat>
            <c:strRef>
              <c:f>'HIW vs Market'!$A$4:$A$13</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f>'HIW vs Market'!$E$4:$E$13</c:f>
              <c:numCache>
                <c:formatCode>0.00%</c:formatCode>
                <c:ptCount val="10"/>
                <c:pt idx="0">
                  <c:v>0.0730710086009686</c:v>
                </c:pt>
                <c:pt idx="1">
                  <c:v>0.0780230117618829</c:v>
                </c:pt>
                <c:pt idx="2">
                  <c:v>0.1120758844994</c:v>
                </c:pt>
                <c:pt idx="3">
                  <c:v>0.0830502403815555</c:v>
                </c:pt>
                <c:pt idx="4">
                  <c:v>0.114606475032769</c:v>
                </c:pt>
                <c:pt idx="5">
                  <c:v>0.0997912278084142</c:v>
                </c:pt>
                <c:pt idx="6">
                  <c:v>0.177038656798322</c:v>
                </c:pt>
                <c:pt idx="7">
                  <c:v>0.217161891698123</c:v>
                </c:pt>
                <c:pt idx="8">
                  <c:v>0.146858486522049</c:v>
                </c:pt>
                <c:pt idx="9">
                  <c:v>0.171719001904761</c:v>
                </c:pt>
              </c:numCache>
            </c:numRef>
          </c:val>
          <c:smooth val="0"/>
        </c:ser>
        <c:hiLowLines>
          <c:spPr>
            <a:ln w="0">
              <a:noFill/>
            </a:ln>
          </c:spPr>
        </c:hiLowLines>
        <c:marker val="1"/>
        <c:axId val="58485577"/>
        <c:axId val="76697290"/>
      </c:lineChart>
      <c:catAx>
        <c:axId val="48152648"/>
        <c:scaling>
          <c:orientation val="minMax"/>
        </c:scaling>
        <c:delete val="0"/>
        <c:axPos val="b"/>
        <c:numFmt formatCode="General" sourceLinked="0"/>
        <c:majorTickMark val="none"/>
        <c:minorTickMark val="none"/>
        <c:tickLblPos val="low"/>
        <c:spPr>
          <a:ln w="0">
            <a:solidFill>
              <a:srgbClr val="b3b3b3"/>
            </a:solidFill>
          </a:ln>
        </c:spPr>
        <c:txPr>
          <a:bodyPr/>
          <a:lstStyle/>
          <a:p>
            <a:pPr>
              <a:defRPr b="0" sz="1000" spc="-1" strike="noStrike">
                <a:solidFill>
                  <a:srgbClr val="000000"/>
                </a:solidFill>
                <a:latin typeface="Calibri"/>
              </a:defRPr>
            </a:pPr>
          </a:p>
        </c:txPr>
        <c:crossAx val="20408939"/>
        <c:crosses val="autoZero"/>
        <c:auto val="1"/>
        <c:lblAlgn val="ctr"/>
        <c:lblOffset val="100"/>
        <c:noMultiLvlLbl val="0"/>
      </c:catAx>
      <c:valAx>
        <c:axId val="20408939"/>
        <c:scaling>
          <c:orientation val="minMax"/>
        </c:scaling>
        <c:delete val="0"/>
        <c:axPos val="l"/>
        <c:majorGridlines>
          <c:spPr>
            <a:ln w="0">
              <a:solidFill>
                <a:srgbClr val="b3b3b3"/>
              </a:solidFill>
            </a:ln>
          </c:spPr>
        </c:majorGridlines>
        <c:title>
          <c:tx>
            <c:rich>
              <a:bodyPr rot="-5400000"/>
              <a:lstStyle/>
              <a:p>
                <a:pPr>
                  <a:defRPr b="1" lang="en-US" sz="1000" spc="-1" strike="noStrike">
                    <a:solidFill>
                      <a:srgbClr val="000000"/>
                    </a:solidFill>
                    <a:latin typeface="Calibri"/>
                  </a:defRPr>
                </a:pPr>
                <a:r>
                  <a:rPr b="1" lang="en-US" sz="1000" spc="-1" strike="noStrike">
                    <a:solidFill>
                      <a:srgbClr val="000000"/>
                    </a:solidFill>
                    <a:latin typeface="Calibri"/>
                  </a:rPr>
                  <a:t>Leverage contribution (pct pts)</a:t>
                </a:r>
              </a:p>
            </c:rich>
          </c:tx>
          <c:overlay val="0"/>
          <c:spPr>
            <a:noFill/>
            <a:ln w="0">
              <a:noFill/>
            </a:ln>
          </c:spPr>
        </c:title>
        <c:numFmt formatCode="0.0%"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48152648"/>
        <c:crosses val="autoZero"/>
        <c:crossBetween val="between"/>
      </c:valAx>
      <c:catAx>
        <c:axId val="58485577"/>
        <c:scaling>
          <c:orientation val="minMax"/>
        </c:scaling>
        <c:delete val="1"/>
        <c:axPos val="t"/>
        <c:numFmt formatCode="General" sourceLinked="1"/>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76697290"/>
        <c:auto val="1"/>
        <c:lblAlgn val="ctr"/>
        <c:lblOffset val="100"/>
        <c:noMultiLvlLbl val="0"/>
      </c:catAx>
      <c:valAx>
        <c:axId val="76697290"/>
        <c:scaling>
          <c:orientation val="minMax"/>
        </c:scaling>
        <c:delete val="0"/>
        <c:axPos val="r"/>
        <c:title>
          <c:tx>
            <c:rich>
              <a:bodyPr rot="-5400000"/>
              <a:lstStyle/>
              <a:p>
                <a:pPr>
                  <a:defRPr b="1" lang="en-US" sz="1000" spc="-1" strike="noStrike">
                    <a:solidFill>
                      <a:srgbClr val="000000"/>
                    </a:solidFill>
                    <a:latin typeface="Calibri"/>
                  </a:defRPr>
                </a:pPr>
                <a:r>
                  <a:rPr b="1" lang="en-US" sz="1000" spc="-1" strike="noStrike">
                    <a:solidFill>
                      <a:srgbClr val="000000"/>
                    </a:solidFill>
                    <a:latin typeface="Calibri"/>
                  </a:rPr>
                  <a:t>Yield (%)</a:t>
                </a:r>
              </a:p>
            </c:rich>
          </c:tx>
          <c:overlay val="0"/>
          <c:spPr>
            <a:noFill/>
            <a:ln w="0">
              <a:noFill/>
            </a:ln>
          </c:spPr>
        </c:title>
        <c:numFmt formatCode="0.0%"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58485577"/>
        <c:crosses val="max"/>
        <c:crossBetween val="between"/>
      </c:valAx>
      <c:spPr>
        <a:noFill/>
        <a:ln w="0">
          <a:noFill/>
        </a:ln>
      </c:spPr>
    </c:plotArea>
    <c:legend>
      <c:legendPos val="b"/>
      <c:overlay val="0"/>
      <c:spPr>
        <a:noFill/>
        <a:ln w="0">
          <a:noFill/>
        </a:ln>
      </c:spPr>
      <c:txPr>
        <a:bodyPr/>
        <a:lstStyle/>
        <a:p>
          <a:pPr>
            <a:defRPr b="0" sz="1000" spc="-1" strike="noStrike">
              <a:solidFill>
                <a:srgbClr val="000000"/>
              </a:solidFill>
              <a:latin typeface="Calibri"/>
            </a:defRPr>
          </a:pPr>
        </a:p>
      </c:txPr>
    </c:legend>
    <c:plotVisOnly val="1"/>
    <c:dispBlanksAs val="gap"/>
  </c:chart>
  <c:spPr>
    <a:solidFill>
      <a:srgbClr val="ffffff"/>
    </a:solidFill>
    <a:ln w="9360">
      <a:solidFill>
        <a:srgbClr val="d9d9d9"/>
      </a:solidFill>
      <a:round/>
    </a:ln>
  </c:spPr>
</c:chartSpace>
</file>

<file path=xl/charts/chart32.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lang="en-US" sz="1200" spc="-1" strike="noStrike">
                <a:solidFill>
                  <a:srgbClr val="000000"/>
                </a:solidFill>
                <a:latin typeface="Calibri"/>
              </a:defRPr>
            </a:pPr>
            <a:r>
              <a:rPr b="1" lang="en-US" sz="1200" spc="-1" strike="noStrike">
                <a:solidFill>
                  <a:srgbClr val="000000"/>
                </a:solidFill>
                <a:latin typeface="Calibri"/>
              </a:rPr>
              <a:t>Annual NOI (labeled YoY growth) and Stabilized TEV: Gross NOI Multiple (2016-2025)</a:t>
            </a:r>
          </a:p>
        </c:rich>
      </c:tx>
      <c:overlay val="0"/>
      <c:spPr>
        <a:noFill/>
        <a:ln w="0">
          <a:noFill/>
        </a:ln>
      </c:spPr>
    </c:title>
    <c:autoTitleDeleted val="0"/>
    <c:plotArea>
      <c:layout>
        <c:manualLayout>
          <c:layoutTarget val="inner"/>
          <c:xMode val="edge"/>
          <c:yMode val="edge"/>
          <c:x val="0.0900357758049556"/>
          <c:y val="0.200339035290492"/>
          <c:w val="0.819067179011528"/>
          <c:h val="0.559254122360918"/>
        </c:manualLayout>
      </c:layout>
      <c:barChart>
        <c:barDir val="col"/>
        <c:grouping val="stacked"/>
        <c:varyColors val="0"/>
        <c:ser>
          <c:idx val="0"/>
          <c:order val="0"/>
          <c:tx>
            <c:strRef>
              <c:f>"Annual NOI ($M)"</c:f>
              <c:strCache>
                <c:ptCount val="1"/>
                <c:pt idx="0">
                  <c:v>Annual NOI ($M)</c:v>
                </c:pt>
              </c:strCache>
            </c:strRef>
          </c:tx>
          <c:spPr>
            <a:solidFill>
              <a:srgbClr val="a31f34"/>
            </a:solidFill>
            <a:ln w="0">
              <a:noFill/>
            </a:ln>
          </c:spPr>
          <c:invertIfNegative val="0"/>
          <c:dPt>
            <c:idx val="1"/>
            <c:invertIfNegative val="0"/>
            <c:spPr>
              <a:solidFill>
                <a:srgbClr val="a31f34"/>
              </a:solidFill>
              <a:ln w="0">
                <a:noFill/>
              </a:ln>
            </c:spPr>
          </c:dPt>
          <c:dPt>
            <c:idx val="2"/>
            <c:invertIfNegative val="0"/>
            <c:spPr>
              <a:solidFill>
                <a:srgbClr val="a31f34"/>
              </a:solidFill>
              <a:ln w="0">
                <a:noFill/>
              </a:ln>
            </c:spPr>
          </c:dPt>
          <c:dPt>
            <c:idx val="3"/>
            <c:invertIfNegative val="0"/>
            <c:spPr>
              <a:solidFill>
                <a:srgbClr val="a31f34"/>
              </a:solidFill>
              <a:ln w="0">
                <a:noFill/>
              </a:ln>
            </c:spPr>
          </c:dPt>
          <c:dPt>
            <c:idx val="4"/>
            <c:invertIfNegative val="0"/>
            <c:spPr>
              <a:solidFill>
                <a:srgbClr val="a31f34"/>
              </a:solidFill>
              <a:ln w="0">
                <a:noFill/>
              </a:ln>
            </c:spPr>
          </c:dPt>
          <c:dPt>
            <c:idx val="5"/>
            <c:invertIfNegative val="0"/>
            <c:spPr>
              <a:solidFill>
                <a:srgbClr val="a31f34"/>
              </a:solidFill>
              <a:ln w="0">
                <a:noFill/>
              </a:ln>
            </c:spPr>
          </c:dPt>
          <c:dPt>
            <c:idx val="6"/>
            <c:invertIfNegative val="0"/>
            <c:spPr>
              <a:solidFill>
                <a:srgbClr val="a31f34"/>
              </a:solidFill>
              <a:ln w="0">
                <a:noFill/>
              </a:ln>
            </c:spPr>
          </c:dPt>
          <c:dPt>
            <c:idx val="7"/>
            <c:invertIfNegative val="0"/>
            <c:spPr>
              <a:solidFill>
                <a:srgbClr val="a31f34"/>
              </a:solidFill>
              <a:ln w="0">
                <a:noFill/>
              </a:ln>
            </c:spPr>
          </c:dPt>
          <c:dPt>
            <c:idx val="8"/>
            <c:invertIfNegative val="0"/>
            <c:spPr>
              <a:solidFill>
                <a:srgbClr val="a31f34"/>
              </a:solidFill>
              <a:ln w="0">
                <a:noFill/>
              </a:ln>
            </c:spPr>
          </c:dPt>
          <c:dPt>
            <c:idx val="9"/>
            <c:invertIfNegative val="0"/>
            <c:spPr>
              <a:solidFill>
                <a:srgbClr val="a31f34"/>
              </a:solidFill>
              <a:ln w="0">
                <a:noFill/>
              </a:ln>
            </c:spPr>
          </c:dPt>
          <c:dLbls>
            <c:dLbl>
              <c:idx val="0"/>
              <c:delete val="1"/>
            </c:dLbl>
            <c:dLbl>
              <c:idx val="1"/>
              <c:layout>
                <c:manualLayout>
                  <c:x val="0"/>
                  <c:y val="-0.06"/>
                </c:manualLayout>
              </c:layout>
              <c:spPr/>
              <c:txPr>
                <a:bodyPr/>
                <a:lstStyle/>
                <a:p>
                  <a:pPr>
                    <a:defRPr sz="1000" b="1">
                      <a:solidFill>
                        <a:srgbClr val="A31F34"/>
                      </a:solidFill>
                    </a:defRPr>
                  </a:pPr>
                  <a:endParaRPr lang="en-US"/>
                </a:p>
              </c:txPr>
              <c:dLblPos val="inEnd"/>
              <c:showLegendKey val="0"/>
              <c:showVal val="0"/>
              <c:showCatName val="0"/>
              <c:showSerName val="0"/>
              <c:showPercent val="0"/>
              <c:showBubbleSize val="0"/>
              <c:separator>; </c:separator>
              <c:extLst>
                <c:ext xmlns:c15="http://schemas.microsoft.com/office/drawing/2012/chart" uri="{CE6537A1-D6FC-4f65-9D91-7224C49458BB}">
                  <c15:showDataLabelsRange val="1"/>
                </c:ext>
              </c:extLst>
            </c:dLbl>
            <c:dLbl>
              <c:idx val="2"/>
              <c:layout>
                <c:manualLayout>
                  <c:x val="0"/>
                  <c:y val="-0.06"/>
                </c:manualLayout>
              </c:layout>
              <c:spPr/>
              <c:txPr>
                <a:bodyPr/>
                <a:lstStyle/>
                <a:p>
                  <a:pPr>
                    <a:defRPr sz="1000" b="1">
                      <a:solidFill>
                        <a:srgbClr val="A31F34"/>
                      </a:solidFill>
                    </a:defRPr>
                  </a:pPr>
                  <a:endParaRPr lang="en-US"/>
                </a:p>
              </c:txPr>
              <c:dLblPos val="inEnd"/>
              <c:showLegendKey val="0"/>
              <c:showVal val="0"/>
              <c:showCatName val="0"/>
              <c:showSerName val="0"/>
              <c:showPercent val="0"/>
              <c:showBubbleSize val="0"/>
              <c:separator>; </c:separator>
              <c:extLst>
                <c:ext xmlns:c15="http://schemas.microsoft.com/office/drawing/2012/chart" uri="{CE6537A1-D6FC-4f65-9D91-7224C49458BB}">
                  <c15:showDataLabelsRange val="1"/>
                </c:ext>
              </c:extLst>
            </c:dLbl>
            <c:dLbl>
              <c:idx val="3"/>
              <c:layout>
                <c:manualLayout>
                  <c:x val="0"/>
                  <c:y val="-0.06"/>
                </c:manualLayout>
              </c:layout>
              <c:spPr/>
              <c:txPr>
                <a:bodyPr/>
                <a:lstStyle/>
                <a:p>
                  <a:pPr>
                    <a:defRPr sz="1000" b="1">
                      <a:solidFill>
                        <a:srgbClr val="A31F34"/>
                      </a:solidFill>
                    </a:defRPr>
                  </a:pPr>
                  <a:endParaRPr lang="en-US"/>
                </a:p>
              </c:txPr>
              <c:dLblPos val="inEnd"/>
              <c:showLegendKey val="0"/>
              <c:showVal val="0"/>
              <c:showCatName val="0"/>
              <c:showSerName val="0"/>
              <c:showPercent val="0"/>
              <c:showBubbleSize val="0"/>
              <c:separator>; </c:separator>
              <c:extLst>
                <c:ext xmlns:c15="http://schemas.microsoft.com/office/drawing/2012/chart" uri="{CE6537A1-D6FC-4f65-9D91-7224C49458BB}">
                  <c15:showDataLabelsRange val="1"/>
                </c:ext>
              </c:extLst>
            </c:dLbl>
            <c:dLbl>
              <c:idx val="4"/>
              <c:layout>
                <c:manualLayout>
                  <c:x val="0"/>
                  <c:y val="-0.06"/>
                </c:manualLayout>
              </c:layout>
              <c:spPr/>
              <c:txPr>
                <a:bodyPr/>
                <a:lstStyle/>
                <a:p>
                  <a:pPr>
                    <a:defRPr sz="1000" b="1">
                      <a:solidFill>
                        <a:srgbClr val="A31F34"/>
                      </a:solidFill>
                    </a:defRPr>
                  </a:pPr>
                  <a:endParaRPr lang="en-US"/>
                </a:p>
              </c:txPr>
              <c:dLblPos val="inEnd"/>
              <c:showLegendKey val="0"/>
              <c:showVal val="0"/>
              <c:showCatName val="0"/>
              <c:showSerName val="0"/>
              <c:showPercent val="0"/>
              <c:showBubbleSize val="0"/>
              <c:separator>; </c:separator>
              <c:extLst>
                <c:ext xmlns:c15="http://schemas.microsoft.com/office/drawing/2012/chart" uri="{CE6537A1-D6FC-4f65-9D91-7224C49458BB}">
                  <c15:showDataLabelsRange val="1"/>
                </c:ext>
              </c:extLst>
            </c:dLbl>
            <c:dLbl>
              <c:idx val="5"/>
              <c:layout>
                <c:manualLayout>
                  <c:x val="0"/>
                  <c:y val="-0.06"/>
                </c:manualLayout>
              </c:layout>
              <c:spPr/>
              <c:txPr>
                <a:bodyPr/>
                <a:lstStyle/>
                <a:p>
                  <a:pPr>
                    <a:defRPr sz="1000" b="1">
                      <a:solidFill>
                        <a:srgbClr val="A31F34"/>
                      </a:solidFill>
                    </a:defRPr>
                  </a:pPr>
                  <a:endParaRPr lang="en-US"/>
                </a:p>
              </c:txPr>
              <c:dLblPos val="inEnd"/>
              <c:showLegendKey val="0"/>
              <c:showVal val="0"/>
              <c:showCatName val="0"/>
              <c:showSerName val="0"/>
              <c:showPercent val="0"/>
              <c:showBubbleSize val="0"/>
              <c:separator>; </c:separator>
              <c:extLst>
                <c:ext xmlns:c15="http://schemas.microsoft.com/office/drawing/2012/chart" uri="{CE6537A1-D6FC-4f65-9D91-7224C49458BB}">
                  <c15:showDataLabelsRange val="1"/>
                </c:ext>
              </c:extLst>
            </c:dLbl>
            <c:dLbl>
              <c:idx val="6"/>
              <c:layout>
                <c:manualLayout>
                  <c:x val="0"/>
                  <c:y val="-0.06"/>
                </c:manualLayout>
              </c:layout>
              <c:spPr/>
              <c:txPr>
                <a:bodyPr/>
                <a:lstStyle/>
                <a:p>
                  <a:pPr>
                    <a:defRPr sz="1000" b="1">
                      <a:solidFill>
                        <a:srgbClr val="A31F34"/>
                      </a:solidFill>
                    </a:defRPr>
                  </a:pPr>
                  <a:endParaRPr lang="en-US"/>
                </a:p>
              </c:txPr>
              <c:dLblPos val="inEnd"/>
              <c:showLegendKey val="0"/>
              <c:showVal val="0"/>
              <c:showCatName val="0"/>
              <c:showSerName val="0"/>
              <c:showPercent val="0"/>
              <c:showBubbleSize val="0"/>
              <c:separator>; </c:separator>
              <c:extLst>
                <c:ext xmlns:c15="http://schemas.microsoft.com/office/drawing/2012/chart" uri="{CE6537A1-D6FC-4f65-9D91-7224C49458BB}">
                  <c15:showDataLabelsRange val="1"/>
                </c:ext>
              </c:extLst>
            </c:dLbl>
            <c:dLbl>
              <c:idx val="7"/>
              <c:layout>
                <c:manualLayout>
                  <c:x val="0"/>
                  <c:y val="-0.06"/>
                </c:manualLayout>
              </c:layout>
              <c:spPr/>
              <c:txPr>
                <a:bodyPr/>
                <a:lstStyle/>
                <a:p>
                  <a:pPr>
                    <a:defRPr sz="1000" b="1">
                      <a:solidFill>
                        <a:srgbClr val="A31F34"/>
                      </a:solidFill>
                    </a:defRPr>
                  </a:pPr>
                  <a:endParaRPr lang="en-US"/>
                </a:p>
              </c:txPr>
              <c:dLblPos val="inEnd"/>
              <c:showLegendKey val="0"/>
              <c:showVal val="0"/>
              <c:showCatName val="0"/>
              <c:showSerName val="0"/>
              <c:showPercent val="0"/>
              <c:showBubbleSize val="0"/>
              <c:separator>; </c:separator>
              <c:extLst>
                <c:ext xmlns:c15="http://schemas.microsoft.com/office/drawing/2012/chart" uri="{CE6537A1-D6FC-4f65-9D91-7224C49458BB}">
                  <c15:showDataLabelsRange val="1"/>
                </c:ext>
              </c:extLst>
            </c:dLbl>
            <c:dLbl>
              <c:idx val="8"/>
              <c:layout>
                <c:manualLayout>
                  <c:x val="0"/>
                  <c:y val="-0.06"/>
                </c:manualLayout>
              </c:layout>
              <c:spPr/>
              <c:txPr>
                <a:bodyPr/>
                <a:lstStyle/>
                <a:p>
                  <a:pPr>
                    <a:defRPr sz="1000" b="1">
                      <a:solidFill>
                        <a:srgbClr val="A31F34"/>
                      </a:solidFill>
                    </a:defRPr>
                  </a:pPr>
                  <a:endParaRPr lang="en-US"/>
                </a:p>
              </c:txPr>
              <c:dLblPos val="inEnd"/>
              <c:showLegendKey val="0"/>
              <c:showVal val="0"/>
              <c:showCatName val="0"/>
              <c:showSerName val="0"/>
              <c:showPercent val="0"/>
              <c:showBubbleSize val="0"/>
              <c:separator>; </c:separator>
              <c:extLst>
                <c:ext xmlns:c15="http://schemas.microsoft.com/office/drawing/2012/chart" uri="{CE6537A1-D6FC-4f65-9D91-7224C49458BB}">
                  <c15:showDataLabelsRange val="1"/>
                </c:ext>
              </c:extLst>
            </c:dLbl>
            <c:dLbl>
              <c:idx val="9"/>
              <c:layout>
                <c:manualLayout>
                  <c:x val="0"/>
                  <c:y val="-0.06"/>
                </c:manualLayout>
              </c:layout>
              <c:spPr/>
              <c:txPr>
                <a:bodyPr/>
                <a:lstStyle/>
                <a:p>
                  <a:pPr>
                    <a:defRPr sz="1000" b="1">
                      <a:solidFill>
                        <a:srgbClr val="A31F34"/>
                      </a:solidFill>
                    </a:defRPr>
                  </a:pPr>
                  <a:endParaRPr lang="en-US"/>
                </a:p>
              </c:txPr>
              <c:dLblPos val="inEnd"/>
              <c:showLegendKey val="0"/>
              <c:showVal val="0"/>
              <c:showCatName val="0"/>
              <c:showSerName val="0"/>
              <c:showPercent val="0"/>
              <c:showBubbleSize val="0"/>
              <c:separator>; </c:separator>
              <c:extLst>
                <c:ext xmlns:c15="http://schemas.microsoft.com/office/drawing/2012/chart" uri="{CE6537A1-D6FC-4f65-9D91-7224C49458BB}">
                  <c15:showDataLabelsRange val="1"/>
                </c:ext>
              </c:extLst>
            </c:dLbl>
            <c:spPr>
              <a:noFill/>
              <a:ln>
                <a:noFill/>
              </a:ln>
            </c:spPr>
            <c:txPr>
              <a:bodyPr/>
              <a:lstStyle/>
              <a:p>
                <a:pPr>
                  <a:defRPr sz="1000" b="1">
                    <a:solidFill>
                      <a:srgbClr val="A31F34"/>
                    </a:solidFill>
                  </a:defRPr>
                </a:pPr>
                <a:endParaRPr lang="en-US"/>
              </a:p>
            </c:txPr>
            <c:dLblPos val="inEnd"/>
            <c:showLegendKey val="0"/>
            <c:showVal val="0"/>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'HIW vs Market'!$A$4:$A$13</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f>'HIW vs Market'!$L$4:$L$13</c:f>
              <c:numCache>
                <c:formatCode>#,##0</c:formatCode>
                <c:ptCount val="10"/>
                <c:pt idx="0">
                  <c:v>434.549</c:v>
                </c:pt>
                <c:pt idx="1">
                  <c:v>465.849</c:v>
                </c:pt>
                <c:pt idx="2">
                  <c:v>477.62</c:v>
                </c:pt>
                <c:pt idx="3">
                  <c:v>487.468</c:v>
                </c:pt>
                <c:pt idx="4">
                  <c:v>505.075</c:v>
                </c:pt>
                <c:pt idx="5">
                  <c:v>531.571</c:v>
                </c:pt>
                <c:pt idx="6">
                  <c:v>569.123</c:v>
                </c:pt>
                <c:pt idx="7">
                  <c:v>565.215</c:v>
                </c:pt>
                <c:pt idx="8">
                  <c:v>553.689</c:v>
                </c:pt>
                <c:pt idx="9">
                  <c:v>544.739</c:v>
                </c:pt>
              </c:numCache>
            </c:numRef>
          </c:val>
          <c:extLst>
            <c:ext xmlns:c15="http://schemas.microsoft.com/office/drawing/2012/chart" uri="{02D57815-91ED-43cb-92C2-25804820EDAC}">
              <c15:datalabelsRange>
                <c15:f>'HIW vs Market'!$AE$4:$AE$13</c15:f>
                <c15:dlblRangeCache>
                  <c:ptCount val="10"/>
                  <c:pt idx="1">
                    <c:v>+7%</c:v>
                  </c:pt>
                  <c:pt idx="2">
                    <c:v>+3%</c:v>
                  </c:pt>
                  <c:pt idx="3">
                    <c:v>+2%</c:v>
                  </c:pt>
                  <c:pt idx="4">
                    <c:v>+4%</c:v>
                  </c:pt>
                  <c:pt idx="5">
                    <c:v>+5%</c:v>
                  </c:pt>
                  <c:pt idx="6">
                    <c:v>+7%</c:v>
                  </c:pt>
                  <c:pt idx="7">
                    <c:v>-1%</c:v>
                  </c:pt>
                  <c:pt idx="8">
                    <c:v>-2%</c:v>
                  </c:pt>
                  <c:pt idx="9">
                    <c:v>-2%</c:v>
                  </c:pt>
                </c15:dlblRangeCache>
              </c15:datalabelsRange>
            </c:ext>
          </c:extLst>
        </c:ser>
        <c:ser>
          <c:idx val="1"/>
          <c:order val="1"/>
          <c:tx>
            <c:strRef>
              <c:f>"Stabilized TEV less NOI ($M)"</c:f>
              <c:strCache>
                <c:ptCount val="1"/>
                <c:pt idx="0">
                  <c:v>Stabilized TEV less NOI ($M)</c:v>
                </c:pt>
              </c:strCache>
            </c:strRef>
          </c:tx>
          <c:spPr>
            <a:solidFill>
              <a:srgbClr val="d9d9d9"/>
            </a:solidFill>
            <a:ln w="0">
              <a:noFill/>
            </a:ln>
          </c:spPr>
          <c:invertIfNegative val="0"/>
          <c:dLbls>
            <c:txPr>
              <a:bodyPr wrap="square"/>
              <a:lstStyle/>
              <a:p>
                <a:pPr>
                  <a:defRPr b="0" sz="1000" spc="-1" strike="noStrike">
                    <a:solidFill>
                      <a:srgbClr val="000000"/>
                    </a:solidFill>
                    <a:latin typeface="Calibri"/>
                  </a:defRPr>
                </a:pPr>
              </a:p>
            </c:txPr>
            <c:dLblPos val="ctr"/>
            <c:showLegendKey val="0"/>
            <c:showVal val="0"/>
            <c:showCatName val="0"/>
            <c:showSerName val="0"/>
            <c:showPercent val="0"/>
            <c:separator>; </c:separator>
            <c:showLeaderLines val="0"/>
            <c:extLst>
              <c:ext xmlns:c15="http://schemas.microsoft.com/office/drawing/2012/chart" uri="{CE6537A1-D6FC-4f65-9D91-7224C49458BB}">
                <c15:showLeaderLines val="0"/>
              </c:ext>
            </c:extLst>
          </c:dLbls>
          <c:cat>
            <c:strRef>
              <c:f>'HIW vs Market'!$A$4:$A$13</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f>'HIW vs Market'!$Q$4:$Q$13</c:f>
              <c:numCache>
                <c:formatCode>#,##0</c:formatCode>
                <c:ptCount val="10"/>
                <c:pt idx="0">
                  <c:v>6446.70905</c:v>
                </c:pt>
                <c:pt idx="1">
                  <c:v>6670.49836</c:v>
                </c:pt>
                <c:pt idx="2">
                  <c:v>5270.56424</c:v>
                </c:pt>
                <c:pt idx="3">
                  <c:v>6984.5588</c:v>
                </c:pt>
                <c:pt idx="4">
                  <c:v>5708.35543</c:v>
                </c:pt>
                <c:pt idx="5">
                  <c:v>6767.87682</c:v>
                </c:pt>
                <c:pt idx="6">
                  <c:v>5292.72262</c:v>
                </c:pt>
                <c:pt idx="7">
                  <c:v>4667.74632</c:v>
                </c:pt>
                <c:pt idx="8">
                  <c:v>5551.0325</c:v>
                </c:pt>
                <c:pt idx="9">
                  <c:v>5336.68718</c:v>
                </c:pt>
              </c:numCache>
            </c:numRef>
          </c:val>
        </c:ser>
        <c:gapWidth val="150"/>
        <c:overlap val="100"/>
        <c:axId val="27433515"/>
        <c:axId val="50908492"/>
      </c:barChart>
      <c:lineChart>
        <c:grouping val="stacked"/>
        <c:varyColors val="0"/>
        <c:ser>
          <c:idx val="2"/>
          <c:order val="2"/>
          <c:tx>
            <c:strRef>
              <c:f>"Gross NOI Multiple (right)"</c:f>
              <c:strCache>
                <c:ptCount val="1"/>
                <c:pt idx="0">
                  <c:v>Gross NOI Multiple (right)</c:v>
                </c:pt>
              </c:strCache>
            </c:strRef>
          </c:tx>
          <c:spPr>
            <a:solidFill>
              <a:srgbClr val="1f3b57"/>
            </a:solidFill>
            <a:ln w="28440">
              <a:solidFill>
                <a:srgbClr val="1f3b57"/>
              </a:solidFill>
              <a:round/>
            </a:ln>
          </c:spPr>
          <c:marker>
            <c:symbol val="circle"/>
            <c:size val="5"/>
            <c:spPr>
              <a:solidFill>
                <a:srgbClr val="1f3b57"/>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0"/>
            <c:extLst>
              <c:ext xmlns:c15="http://schemas.microsoft.com/office/drawing/2012/chart" uri="{CE6537A1-D6FC-4f65-9D91-7224C49458BB}">
                <c15:showLeaderLines val="0"/>
              </c:ext>
            </c:extLst>
          </c:dLbls>
          <c:cat>
            <c:strRef>
              <c:f>'HIW vs Market'!$A$4:$A$13</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f>'HIW vs Market'!$J$4:$J$13</c:f>
              <c:numCache>
                <c:formatCode>0.0\x</c:formatCode>
                <c:ptCount val="10"/>
                <c:pt idx="0">
                  <c:v>15.8354018764282</c:v>
                </c:pt>
                <c:pt idx="1">
                  <c:v>15.319014015271</c:v>
                </c:pt>
                <c:pt idx="2">
                  <c:v>12.035057660902</c:v>
                </c:pt>
                <c:pt idx="3">
                  <c:v>15.3282406229742</c:v>
                </c:pt>
                <c:pt idx="4">
                  <c:v>12.3019956046132</c:v>
                </c:pt>
                <c:pt idx="5">
                  <c:v>13.7318398106744</c:v>
                </c:pt>
                <c:pt idx="6">
                  <c:v>10.2997869001956</c:v>
                </c:pt>
                <c:pt idx="7">
                  <c:v>9.25835535150341</c:v>
                </c:pt>
                <c:pt idx="8">
                  <c:v>11.0255423170769</c:v>
                </c:pt>
                <c:pt idx="9">
                  <c:v>10.7967782369171</c:v>
                </c:pt>
              </c:numCache>
            </c:numRef>
          </c:val>
          <c:smooth val="0"/>
        </c:ser>
        <c:hiLowLines>
          <c:spPr>
            <a:ln w="0">
              <a:noFill/>
            </a:ln>
          </c:spPr>
        </c:hiLowLines>
        <c:marker val="1"/>
        <c:axId val="55348749"/>
        <c:axId val="12301196"/>
      </c:lineChart>
      <c:catAx>
        <c:axId val="27433515"/>
        <c:scaling>
          <c:orientation val="minMax"/>
        </c:scaling>
        <c:delete val="0"/>
        <c:axPos val="b"/>
        <c:numFmt formatCode="General" sourceLinked="0"/>
        <c:majorTickMark val="none"/>
        <c:minorTickMark val="none"/>
        <c:tickLblPos val="low"/>
        <c:spPr>
          <a:ln w="0">
            <a:solidFill>
              <a:srgbClr val="b3b3b3"/>
            </a:solidFill>
          </a:ln>
        </c:spPr>
        <c:txPr>
          <a:bodyPr/>
          <a:lstStyle/>
          <a:p>
            <a:pPr>
              <a:defRPr b="0" sz="1000" spc="-1" strike="noStrike">
                <a:solidFill>
                  <a:srgbClr val="000000"/>
                </a:solidFill>
                <a:latin typeface="Calibri"/>
              </a:defRPr>
            </a:pPr>
          </a:p>
        </c:txPr>
        <c:crossAx val="50908492"/>
        <c:crosses val="autoZero"/>
        <c:auto val="1"/>
        <c:lblAlgn val="ctr"/>
        <c:lblOffset val="100"/>
        <c:noMultiLvlLbl val="0"/>
      </c:catAx>
      <c:valAx>
        <c:axId val="50908492"/>
        <c:scaling>
          <c:orientation val="minMax"/>
          <c:min val="0"/>
        </c:scaling>
        <c:delete val="0"/>
        <c:axPos val="l"/>
        <c:majorGridlines>
          <c:spPr>
            <a:ln w="0">
              <a:solidFill>
                <a:srgbClr val="b3b3b3"/>
              </a:solidFill>
            </a:ln>
          </c:spPr>
        </c:majorGridlines>
        <c:numFmt formatCode="#,##0"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27433515"/>
        <c:crosses val="autoZero"/>
        <c:crossBetween val="between"/>
      </c:valAx>
      <c:catAx>
        <c:axId val="55348749"/>
        <c:scaling>
          <c:orientation val="minMax"/>
        </c:scaling>
        <c:delete val="1"/>
        <c:axPos val="t"/>
        <c:numFmt formatCode="General" sourceLinked="1"/>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12301196"/>
        <c:auto val="1"/>
        <c:lblAlgn val="ctr"/>
        <c:lblOffset val="100"/>
        <c:noMultiLvlLbl val="0"/>
      </c:catAx>
      <c:valAx>
        <c:axId val="12301196"/>
        <c:scaling>
          <c:orientation val="minMax"/>
        </c:scaling>
        <c:delete val="0"/>
        <c:axPos val="r"/>
        <c:numFmt formatCode="0.0\x"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55348749"/>
        <c:crosses val="max"/>
        <c:crossBetween val="between"/>
      </c:valAx>
      <c:spPr>
        <a:noFill/>
        <a:ln w="0">
          <a:noFill/>
        </a:ln>
      </c:spPr>
    </c:plotArea>
    <c:legend>
      <c:legendPos val="b"/>
      <c:overlay val="0"/>
      <c:spPr>
        <a:noFill/>
        <a:ln w="0">
          <a:noFill/>
        </a:ln>
      </c:spPr>
      <c:txPr>
        <a:bodyPr/>
        <a:lstStyle/>
        <a:p>
          <a:pPr>
            <a:defRPr b="0" sz="1000" spc="-1" strike="noStrike">
              <a:solidFill>
                <a:srgbClr val="000000"/>
              </a:solidFill>
              <a:latin typeface="Calibri"/>
            </a:defRPr>
          </a:pPr>
        </a:p>
      </c:txPr>
    </c:legend>
    <c:plotVisOnly val="1"/>
    <c:dispBlanksAs val="gap"/>
  </c:chart>
  <c:spPr>
    <a:solidFill>
      <a:srgbClr val="ffffff"/>
    </a:solidFill>
    <a:ln w="9360">
      <a:solidFill>
        <a:srgbClr val="d9d9d9"/>
      </a:solidFill>
      <a:round/>
    </a:ln>
  </c:spPr>
</c:chartSpace>
</file>

<file path=xl/charts/chart33.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lang="en-US" sz="1200" spc="-1" strike="noStrike">
                <a:solidFill>
                  <a:srgbClr val="000000"/>
                </a:solidFill>
                <a:latin typeface="Calibri"/>
              </a:defRPr>
            </a:pPr>
            <a:r>
              <a:rPr b="1" lang="en-US" sz="1200" spc="-1" strike="noStrike">
                <a:solidFill>
                  <a:srgbClr val="000000"/>
                </a:solidFill>
                <a:latin typeface="Calibri"/>
              </a:rPr>
              <a:t>Leveraged Cash Flow (labeled YoY growth) and Stabilized Market Cap: Leveraged NOI Multiple (2016-2025)</a:t>
            </a:r>
          </a:p>
        </c:rich>
      </c:tx>
      <c:overlay val="0"/>
      <c:spPr>
        <a:noFill/>
        <a:ln w="0">
          <a:noFill/>
        </a:ln>
      </c:spPr>
    </c:title>
    <c:autoTitleDeleted val="0"/>
    <c:plotArea>
      <c:layout>
        <c:manualLayout>
          <c:layoutTarget val="inner"/>
          <c:xMode val="edge"/>
          <c:yMode val="edge"/>
          <c:x val="0.0900357758049556"/>
          <c:y val="0.200339035290492"/>
          <c:w val="0.819067179011528"/>
          <c:h val="0.559254122360918"/>
        </c:manualLayout>
      </c:layout>
      <c:barChart>
        <c:barDir val="col"/>
        <c:grouping val="stacked"/>
        <c:varyColors val="0"/>
        <c:ser>
          <c:idx val="0"/>
          <c:order val="0"/>
          <c:tx>
            <c:strRef>
              <c:f>"Leveraged Property Cash Flow ($M)"</c:f>
              <c:strCache>
                <c:ptCount val="1"/>
                <c:pt idx="0">
                  <c:v>Leveraged Property Cash Flow ($M)</c:v>
                </c:pt>
              </c:strCache>
            </c:strRef>
          </c:tx>
          <c:spPr>
            <a:solidFill>
              <a:srgbClr val="a31f34"/>
            </a:solidFill>
            <a:ln w="0">
              <a:noFill/>
            </a:ln>
          </c:spPr>
          <c:invertIfNegative val="0"/>
          <c:dPt>
            <c:idx val="1"/>
            <c:invertIfNegative val="0"/>
            <c:spPr>
              <a:solidFill>
                <a:srgbClr val="a31f34"/>
              </a:solidFill>
              <a:ln w="0">
                <a:noFill/>
              </a:ln>
            </c:spPr>
          </c:dPt>
          <c:dPt>
            <c:idx val="2"/>
            <c:invertIfNegative val="0"/>
            <c:spPr>
              <a:solidFill>
                <a:srgbClr val="a31f34"/>
              </a:solidFill>
              <a:ln w="0">
                <a:noFill/>
              </a:ln>
            </c:spPr>
          </c:dPt>
          <c:dPt>
            <c:idx val="3"/>
            <c:invertIfNegative val="0"/>
            <c:spPr>
              <a:solidFill>
                <a:srgbClr val="a31f34"/>
              </a:solidFill>
              <a:ln w="0">
                <a:noFill/>
              </a:ln>
            </c:spPr>
          </c:dPt>
          <c:dPt>
            <c:idx val="4"/>
            <c:invertIfNegative val="0"/>
            <c:spPr>
              <a:solidFill>
                <a:srgbClr val="a31f34"/>
              </a:solidFill>
              <a:ln w="0">
                <a:noFill/>
              </a:ln>
            </c:spPr>
          </c:dPt>
          <c:dPt>
            <c:idx val="5"/>
            <c:invertIfNegative val="0"/>
            <c:spPr>
              <a:solidFill>
                <a:srgbClr val="a31f34"/>
              </a:solidFill>
              <a:ln w="0">
                <a:noFill/>
              </a:ln>
            </c:spPr>
          </c:dPt>
          <c:dPt>
            <c:idx val="6"/>
            <c:invertIfNegative val="0"/>
            <c:spPr>
              <a:solidFill>
                <a:srgbClr val="a31f34"/>
              </a:solidFill>
              <a:ln w="0">
                <a:noFill/>
              </a:ln>
            </c:spPr>
          </c:dPt>
          <c:dPt>
            <c:idx val="7"/>
            <c:invertIfNegative val="0"/>
            <c:spPr>
              <a:solidFill>
                <a:srgbClr val="a31f34"/>
              </a:solidFill>
              <a:ln w="0">
                <a:noFill/>
              </a:ln>
            </c:spPr>
          </c:dPt>
          <c:dPt>
            <c:idx val="8"/>
            <c:invertIfNegative val="0"/>
            <c:spPr>
              <a:solidFill>
                <a:srgbClr val="a31f34"/>
              </a:solidFill>
              <a:ln w="0">
                <a:noFill/>
              </a:ln>
            </c:spPr>
          </c:dPt>
          <c:dPt>
            <c:idx val="9"/>
            <c:invertIfNegative val="0"/>
            <c:spPr>
              <a:solidFill>
                <a:srgbClr val="a31f34"/>
              </a:solidFill>
              <a:ln w="0">
                <a:noFill/>
              </a:ln>
            </c:spPr>
          </c:dPt>
          <c:dLbls>
            <c:dLbl>
              <c:idx val="0"/>
              <c:delete val="1"/>
            </c:dLbl>
            <c:dLbl>
              <c:idx val="1"/>
              <c:layout>
                <c:manualLayout>
                  <c:x val="0"/>
                  <c:y val="-0.06"/>
                </c:manualLayout>
              </c:layout>
              <c:spPr/>
              <c:txPr>
                <a:bodyPr/>
                <a:lstStyle/>
                <a:p>
                  <a:pPr>
                    <a:defRPr sz="1000" b="1">
                      <a:solidFill>
                        <a:srgbClr val="A31F34"/>
                      </a:solidFill>
                    </a:defRPr>
                  </a:pPr>
                  <a:endParaRPr lang="en-US"/>
                </a:p>
              </c:txPr>
              <c:dLblPos val="inEnd"/>
              <c:showLegendKey val="0"/>
              <c:showVal val="0"/>
              <c:showCatName val="0"/>
              <c:showSerName val="0"/>
              <c:showPercent val="0"/>
              <c:showBubbleSize val="0"/>
              <c:separator>; </c:separator>
              <c:extLst>
                <c:ext xmlns:c15="http://schemas.microsoft.com/office/drawing/2012/chart" uri="{CE6537A1-D6FC-4f65-9D91-7224C49458BB}">
                  <c15:showDataLabelsRange val="1"/>
                </c:ext>
              </c:extLst>
            </c:dLbl>
            <c:dLbl>
              <c:idx val="2"/>
              <c:layout>
                <c:manualLayout>
                  <c:x val="0"/>
                  <c:y val="-0.06"/>
                </c:manualLayout>
              </c:layout>
              <c:spPr/>
              <c:txPr>
                <a:bodyPr/>
                <a:lstStyle/>
                <a:p>
                  <a:pPr>
                    <a:defRPr sz="1000" b="1">
                      <a:solidFill>
                        <a:srgbClr val="A31F34"/>
                      </a:solidFill>
                    </a:defRPr>
                  </a:pPr>
                  <a:endParaRPr lang="en-US"/>
                </a:p>
              </c:txPr>
              <c:dLblPos val="inEnd"/>
              <c:showLegendKey val="0"/>
              <c:showVal val="0"/>
              <c:showCatName val="0"/>
              <c:showSerName val="0"/>
              <c:showPercent val="0"/>
              <c:showBubbleSize val="0"/>
              <c:separator>; </c:separator>
              <c:extLst>
                <c:ext xmlns:c15="http://schemas.microsoft.com/office/drawing/2012/chart" uri="{CE6537A1-D6FC-4f65-9D91-7224C49458BB}">
                  <c15:showDataLabelsRange val="1"/>
                </c:ext>
              </c:extLst>
            </c:dLbl>
            <c:dLbl>
              <c:idx val="3"/>
              <c:layout>
                <c:manualLayout>
                  <c:x val="0"/>
                  <c:y val="-0.06"/>
                </c:manualLayout>
              </c:layout>
              <c:spPr/>
              <c:txPr>
                <a:bodyPr/>
                <a:lstStyle/>
                <a:p>
                  <a:pPr>
                    <a:defRPr sz="1000" b="1">
                      <a:solidFill>
                        <a:srgbClr val="A31F34"/>
                      </a:solidFill>
                    </a:defRPr>
                  </a:pPr>
                  <a:endParaRPr lang="en-US"/>
                </a:p>
              </c:txPr>
              <c:dLblPos val="inEnd"/>
              <c:showLegendKey val="0"/>
              <c:showVal val="0"/>
              <c:showCatName val="0"/>
              <c:showSerName val="0"/>
              <c:showPercent val="0"/>
              <c:showBubbleSize val="0"/>
              <c:separator>; </c:separator>
              <c:extLst>
                <c:ext xmlns:c15="http://schemas.microsoft.com/office/drawing/2012/chart" uri="{CE6537A1-D6FC-4f65-9D91-7224C49458BB}">
                  <c15:showDataLabelsRange val="1"/>
                </c:ext>
              </c:extLst>
            </c:dLbl>
            <c:dLbl>
              <c:idx val="4"/>
              <c:layout>
                <c:manualLayout>
                  <c:x val="0"/>
                  <c:y val="-0.06"/>
                </c:manualLayout>
              </c:layout>
              <c:spPr/>
              <c:txPr>
                <a:bodyPr/>
                <a:lstStyle/>
                <a:p>
                  <a:pPr>
                    <a:defRPr sz="1000" b="1">
                      <a:solidFill>
                        <a:srgbClr val="A31F34"/>
                      </a:solidFill>
                    </a:defRPr>
                  </a:pPr>
                  <a:endParaRPr lang="en-US"/>
                </a:p>
              </c:txPr>
              <c:dLblPos val="inEnd"/>
              <c:showLegendKey val="0"/>
              <c:showVal val="0"/>
              <c:showCatName val="0"/>
              <c:showSerName val="0"/>
              <c:showPercent val="0"/>
              <c:showBubbleSize val="0"/>
              <c:separator>; </c:separator>
              <c:extLst>
                <c:ext xmlns:c15="http://schemas.microsoft.com/office/drawing/2012/chart" uri="{CE6537A1-D6FC-4f65-9D91-7224C49458BB}">
                  <c15:showDataLabelsRange val="1"/>
                </c:ext>
              </c:extLst>
            </c:dLbl>
            <c:dLbl>
              <c:idx val="5"/>
              <c:layout>
                <c:manualLayout>
                  <c:x val="0"/>
                  <c:y val="-0.06"/>
                </c:manualLayout>
              </c:layout>
              <c:spPr/>
              <c:txPr>
                <a:bodyPr/>
                <a:lstStyle/>
                <a:p>
                  <a:pPr>
                    <a:defRPr sz="1000" b="1">
                      <a:solidFill>
                        <a:srgbClr val="A31F34"/>
                      </a:solidFill>
                    </a:defRPr>
                  </a:pPr>
                  <a:endParaRPr lang="en-US"/>
                </a:p>
              </c:txPr>
              <c:dLblPos val="inEnd"/>
              <c:showLegendKey val="0"/>
              <c:showVal val="0"/>
              <c:showCatName val="0"/>
              <c:showSerName val="0"/>
              <c:showPercent val="0"/>
              <c:showBubbleSize val="0"/>
              <c:separator>; </c:separator>
              <c:extLst>
                <c:ext xmlns:c15="http://schemas.microsoft.com/office/drawing/2012/chart" uri="{CE6537A1-D6FC-4f65-9D91-7224C49458BB}">
                  <c15:showDataLabelsRange val="1"/>
                </c:ext>
              </c:extLst>
            </c:dLbl>
            <c:dLbl>
              <c:idx val="6"/>
              <c:layout>
                <c:manualLayout>
                  <c:x val="0"/>
                  <c:y val="-0.06"/>
                </c:manualLayout>
              </c:layout>
              <c:spPr/>
              <c:txPr>
                <a:bodyPr/>
                <a:lstStyle/>
                <a:p>
                  <a:pPr>
                    <a:defRPr sz="1000" b="1">
                      <a:solidFill>
                        <a:srgbClr val="A31F34"/>
                      </a:solidFill>
                    </a:defRPr>
                  </a:pPr>
                  <a:endParaRPr lang="en-US"/>
                </a:p>
              </c:txPr>
              <c:dLblPos val="inEnd"/>
              <c:showLegendKey val="0"/>
              <c:showVal val="0"/>
              <c:showCatName val="0"/>
              <c:showSerName val="0"/>
              <c:showPercent val="0"/>
              <c:showBubbleSize val="0"/>
              <c:separator>; </c:separator>
              <c:extLst>
                <c:ext xmlns:c15="http://schemas.microsoft.com/office/drawing/2012/chart" uri="{CE6537A1-D6FC-4f65-9D91-7224C49458BB}">
                  <c15:showDataLabelsRange val="1"/>
                </c:ext>
              </c:extLst>
            </c:dLbl>
            <c:dLbl>
              <c:idx val="7"/>
              <c:layout>
                <c:manualLayout>
                  <c:x val="0"/>
                  <c:y val="-0.06"/>
                </c:manualLayout>
              </c:layout>
              <c:spPr/>
              <c:txPr>
                <a:bodyPr/>
                <a:lstStyle/>
                <a:p>
                  <a:pPr>
                    <a:defRPr sz="1000" b="1">
                      <a:solidFill>
                        <a:srgbClr val="A31F34"/>
                      </a:solidFill>
                    </a:defRPr>
                  </a:pPr>
                  <a:endParaRPr lang="en-US"/>
                </a:p>
              </c:txPr>
              <c:dLblPos val="inEnd"/>
              <c:showLegendKey val="0"/>
              <c:showVal val="0"/>
              <c:showCatName val="0"/>
              <c:showSerName val="0"/>
              <c:showPercent val="0"/>
              <c:showBubbleSize val="0"/>
              <c:separator>; </c:separator>
              <c:extLst>
                <c:ext xmlns:c15="http://schemas.microsoft.com/office/drawing/2012/chart" uri="{CE6537A1-D6FC-4f65-9D91-7224C49458BB}">
                  <c15:showDataLabelsRange val="1"/>
                </c:ext>
              </c:extLst>
            </c:dLbl>
            <c:dLbl>
              <c:idx val="8"/>
              <c:layout>
                <c:manualLayout>
                  <c:x val="0"/>
                  <c:y val="-0.06"/>
                </c:manualLayout>
              </c:layout>
              <c:spPr/>
              <c:txPr>
                <a:bodyPr/>
                <a:lstStyle/>
                <a:p>
                  <a:pPr>
                    <a:defRPr sz="1000" b="1">
                      <a:solidFill>
                        <a:srgbClr val="A31F34"/>
                      </a:solidFill>
                    </a:defRPr>
                  </a:pPr>
                  <a:endParaRPr lang="en-US"/>
                </a:p>
              </c:txPr>
              <c:dLblPos val="inEnd"/>
              <c:showLegendKey val="0"/>
              <c:showVal val="0"/>
              <c:showCatName val="0"/>
              <c:showSerName val="0"/>
              <c:showPercent val="0"/>
              <c:showBubbleSize val="0"/>
              <c:separator>; </c:separator>
              <c:extLst>
                <c:ext xmlns:c15="http://schemas.microsoft.com/office/drawing/2012/chart" uri="{CE6537A1-D6FC-4f65-9D91-7224C49458BB}">
                  <c15:showDataLabelsRange val="1"/>
                </c:ext>
              </c:extLst>
            </c:dLbl>
            <c:dLbl>
              <c:idx val="9"/>
              <c:layout>
                <c:manualLayout>
                  <c:x val="0"/>
                  <c:y val="-0.06"/>
                </c:manualLayout>
              </c:layout>
              <c:spPr/>
              <c:txPr>
                <a:bodyPr/>
                <a:lstStyle/>
                <a:p>
                  <a:pPr>
                    <a:defRPr sz="1000" b="1">
                      <a:solidFill>
                        <a:srgbClr val="A31F34"/>
                      </a:solidFill>
                    </a:defRPr>
                  </a:pPr>
                  <a:endParaRPr lang="en-US"/>
                </a:p>
              </c:txPr>
              <c:dLblPos val="inEnd"/>
              <c:showLegendKey val="0"/>
              <c:showVal val="0"/>
              <c:showCatName val="0"/>
              <c:showSerName val="0"/>
              <c:showPercent val="0"/>
              <c:showBubbleSize val="0"/>
              <c:separator>; </c:separator>
              <c:extLst>
                <c:ext xmlns:c15="http://schemas.microsoft.com/office/drawing/2012/chart" uri="{CE6537A1-D6FC-4f65-9D91-7224C49458BB}">
                  <c15:showDataLabelsRange val="1"/>
                </c:ext>
              </c:extLst>
            </c:dLbl>
            <c:spPr>
              <a:noFill/>
              <a:ln>
                <a:noFill/>
              </a:ln>
            </c:spPr>
            <c:txPr>
              <a:bodyPr/>
              <a:lstStyle/>
              <a:p>
                <a:pPr>
                  <a:defRPr sz="1000" b="1">
                    <a:solidFill>
                      <a:srgbClr val="A31F34"/>
                    </a:solidFill>
                  </a:defRPr>
                </a:pPr>
                <a:endParaRPr lang="en-US"/>
              </a:p>
            </c:txPr>
            <c:dLblPos val="inEnd"/>
            <c:showLegendKey val="0"/>
            <c:showVal val="0"/>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'HIW vs Market'!$A$4:$A$13</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f>'HIW vs Market'!$N$4:$N$13</c:f>
              <c:numCache>
                <c:formatCode>#,##0</c:formatCode>
                <c:ptCount val="10"/>
                <c:pt idx="0">
                  <c:v>357.901</c:v>
                </c:pt>
                <c:pt idx="1">
                  <c:v>396.744</c:v>
                </c:pt>
                <c:pt idx="2">
                  <c:v>406.198</c:v>
                </c:pt>
                <c:pt idx="3">
                  <c:v>405.82</c:v>
                </c:pt>
                <c:pt idx="4">
                  <c:v>424.113</c:v>
                </c:pt>
                <c:pt idx="5">
                  <c:v>445.718</c:v>
                </c:pt>
                <c:pt idx="6">
                  <c:v>463.738</c:v>
                </c:pt>
                <c:pt idx="7">
                  <c:v>428.505</c:v>
                </c:pt>
                <c:pt idx="8">
                  <c:v>406.491</c:v>
                </c:pt>
                <c:pt idx="9">
                  <c:v>392.306</c:v>
                </c:pt>
              </c:numCache>
            </c:numRef>
          </c:val>
          <c:extLst>
            <c:ext xmlns:c15="http://schemas.microsoft.com/office/drawing/2012/chart" uri="{02D57815-91ED-43cb-92C2-25804820EDAC}">
              <c15:datalabelsRange>
                <c15:f>'HIW vs Market'!$AF$4:$AF$13</c15:f>
                <c15:dlblRangeCache>
                  <c:ptCount val="10"/>
                  <c:pt idx="1">
                    <c:v>+11%</c:v>
                  </c:pt>
                  <c:pt idx="2">
                    <c:v>+2%</c:v>
                  </c:pt>
                  <c:pt idx="3">
                    <c:v>-0%</c:v>
                  </c:pt>
                  <c:pt idx="4">
                    <c:v>+5%</c:v>
                  </c:pt>
                  <c:pt idx="5">
                    <c:v>+5%</c:v>
                  </c:pt>
                  <c:pt idx="6">
                    <c:v>+4%</c:v>
                  </c:pt>
                  <c:pt idx="7">
                    <c:v>-8%</c:v>
                  </c:pt>
                  <c:pt idx="8">
                    <c:v>-5%</c:v>
                  </c:pt>
                  <c:pt idx="9">
                    <c:v>-3%</c:v>
                  </c:pt>
                </c15:dlblRangeCache>
              </c15:datalabelsRange>
            </c:ext>
          </c:extLst>
        </c:ser>
        <c:ser>
          <c:idx val="1"/>
          <c:order val="1"/>
          <c:tx>
            <c:strRef>
              <c:f>"Stabilized Market Cap less Leveraged CF ($M)"</c:f>
              <c:strCache>
                <c:ptCount val="1"/>
                <c:pt idx="0">
                  <c:v>Stabilized Market Cap less Leveraged CF ($M)</c:v>
                </c:pt>
              </c:strCache>
            </c:strRef>
          </c:tx>
          <c:spPr>
            <a:solidFill>
              <a:srgbClr val="d9d9d9"/>
            </a:solidFill>
            <a:ln w="0">
              <a:noFill/>
            </a:ln>
          </c:spPr>
          <c:invertIfNegative val="0"/>
          <c:dLbls>
            <c:txPr>
              <a:bodyPr wrap="square"/>
              <a:lstStyle/>
              <a:p>
                <a:pPr>
                  <a:defRPr b="0" sz="1000" spc="-1" strike="noStrike">
                    <a:solidFill>
                      <a:srgbClr val="000000"/>
                    </a:solidFill>
                    <a:latin typeface="Calibri"/>
                  </a:defRPr>
                </a:pPr>
              </a:p>
            </c:txPr>
            <c:dLblPos val="ctr"/>
            <c:showLegendKey val="0"/>
            <c:showVal val="0"/>
            <c:showCatName val="0"/>
            <c:showSerName val="0"/>
            <c:showPercent val="0"/>
            <c:separator>; </c:separator>
            <c:showLeaderLines val="0"/>
            <c:extLst>
              <c:ext xmlns:c15="http://schemas.microsoft.com/office/drawing/2012/chart" uri="{CE6537A1-D6FC-4f65-9D91-7224C49458BB}">
                <c15:showLeaderLines val="0"/>
              </c:ext>
            </c:extLst>
          </c:dLbls>
          <c:cat>
            <c:strRef>
              <c:f>'HIW vs Market'!$A$4:$A$13</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f>'HIW vs Market'!$R$4:$R$13</c:f>
              <c:numCache>
                <c:formatCode>#,##0</c:formatCode>
                <c:ptCount val="10"/>
                <c:pt idx="0">
                  <c:v>4540.08805</c:v>
                </c:pt>
                <c:pt idx="1">
                  <c:v>4688.21736</c:v>
                </c:pt>
                <c:pt idx="2">
                  <c:v>3218.11424</c:v>
                </c:pt>
                <c:pt idx="3">
                  <c:v>4480.6198</c:v>
                </c:pt>
                <c:pt idx="4">
                  <c:v>3276.48943</c:v>
                </c:pt>
                <c:pt idx="5">
                  <c:v>4020.78682</c:v>
                </c:pt>
                <c:pt idx="6">
                  <c:v>2155.67862</c:v>
                </c:pt>
                <c:pt idx="7">
                  <c:v>1544.70032</c:v>
                </c:pt>
                <c:pt idx="8">
                  <c:v>2361.4185</c:v>
                </c:pt>
                <c:pt idx="9">
                  <c:v>1892.27518</c:v>
                </c:pt>
              </c:numCache>
            </c:numRef>
          </c:val>
        </c:ser>
        <c:gapWidth val="150"/>
        <c:overlap val="100"/>
        <c:axId val="91031598"/>
        <c:axId val="18190255"/>
      </c:barChart>
      <c:lineChart>
        <c:grouping val="stacked"/>
        <c:varyColors val="0"/>
        <c:ser>
          <c:idx val="2"/>
          <c:order val="2"/>
          <c:tx>
            <c:strRef>
              <c:f>"Leveraged NOI Multiple (right)"</c:f>
              <c:strCache>
                <c:ptCount val="1"/>
                <c:pt idx="0">
                  <c:v>Leveraged NOI Multiple (right)</c:v>
                </c:pt>
              </c:strCache>
            </c:strRef>
          </c:tx>
          <c:spPr>
            <a:solidFill>
              <a:srgbClr val="1f3b57"/>
            </a:solidFill>
            <a:ln w="28440">
              <a:solidFill>
                <a:srgbClr val="1f3b57"/>
              </a:solidFill>
              <a:round/>
            </a:ln>
          </c:spPr>
          <c:marker>
            <c:symbol val="circle"/>
            <c:size val="5"/>
            <c:spPr>
              <a:solidFill>
                <a:srgbClr val="1f3b57"/>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0"/>
            <c:extLst>
              <c:ext xmlns:c15="http://schemas.microsoft.com/office/drawing/2012/chart" uri="{CE6537A1-D6FC-4f65-9D91-7224C49458BB}">
                <c15:showLeaderLines val="0"/>
              </c:ext>
            </c:extLst>
          </c:dLbls>
          <c:cat>
            <c:strRef>
              <c:f>'HIW vs Market'!$A$4:$A$13</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f>'HIW vs Market'!$K$4:$K$13</c:f>
              <c:numCache>
                <c:formatCode>0.0\x</c:formatCode>
                <c:ptCount val="10"/>
                <c:pt idx="0">
                  <c:v>13.6853181466383</c:v>
                </c:pt>
                <c:pt idx="1">
                  <c:v>12.8167315951848</c:v>
                </c:pt>
                <c:pt idx="2">
                  <c:v>8.92252605872013</c:v>
                </c:pt>
                <c:pt idx="3">
                  <c:v>12.0409043418264</c:v>
                </c:pt>
                <c:pt idx="4">
                  <c:v>8.72551048894988</c:v>
                </c:pt>
                <c:pt idx="5">
                  <c:v>10.020920896172</c:v>
                </c:pt>
                <c:pt idx="6">
                  <c:v>5.6484838852973</c:v>
                </c:pt>
                <c:pt idx="7">
                  <c:v>4.60485949988915</c:v>
                </c:pt>
                <c:pt idx="8">
                  <c:v>6.80927622013772</c:v>
                </c:pt>
                <c:pt idx="9">
                  <c:v>5.82346734436894</c:v>
                </c:pt>
              </c:numCache>
            </c:numRef>
          </c:val>
          <c:smooth val="0"/>
        </c:ser>
        <c:hiLowLines>
          <c:spPr>
            <a:ln w="0">
              <a:noFill/>
            </a:ln>
          </c:spPr>
        </c:hiLowLines>
        <c:marker val="1"/>
        <c:axId val="90046598"/>
        <c:axId val="60024996"/>
      </c:lineChart>
      <c:catAx>
        <c:axId val="91031598"/>
        <c:scaling>
          <c:orientation val="minMax"/>
        </c:scaling>
        <c:delete val="0"/>
        <c:axPos val="b"/>
        <c:numFmt formatCode="General" sourceLinked="0"/>
        <c:majorTickMark val="none"/>
        <c:minorTickMark val="none"/>
        <c:tickLblPos val="low"/>
        <c:spPr>
          <a:ln w="0">
            <a:solidFill>
              <a:srgbClr val="b3b3b3"/>
            </a:solidFill>
          </a:ln>
        </c:spPr>
        <c:txPr>
          <a:bodyPr/>
          <a:lstStyle/>
          <a:p>
            <a:pPr>
              <a:defRPr b="0" sz="1000" spc="-1" strike="noStrike">
                <a:solidFill>
                  <a:srgbClr val="000000"/>
                </a:solidFill>
                <a:latin typeface="Calibri"/>
              </a:defRPr>
            </a:pPr>
          </a:p>
        </c:txPr>
        <c:crossAx val="18190255"/>
        <c:crosses val="autoZero"/>
        <c:auto val="1"/>
        <c:lblAlgn val="ctr"/>
        <c:lblOffset val="100"/>
        <c:noMultiLvlLbl val="0"/>
      </c:catAx>
      <c:valAx>
        <c:axId val="18190255"/>
        <c:scaling>
          <c:orientation val="minMax"/>
          <c:min val="0"/>
        </c:scaling>
        <c:delete val="0"/>
        <c:axPos val="l"/>
        <c:majorGridlines>
          <c:spPr>
            <a:ln w="0">
              <a:solidFill>
                <a:srgbClr val="b3b3b3"/>
              </a:solidFill>
            </a:ln>
          </c:spPr>
        </c:majorGridlines>
        <c:numFmt formatCode="#,##0"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91031598"/>
        <c:crosses val="autoZero"/>
        <c:crossBetween val="between"/>
      </c:valAx>
      <c:catAx>
        <c:axId val="90046598"/>
        <c:scaling>
          <c:orientation val="minMax"/>
        </c:scaling>
        <c:delete val="1"/>
        <c:axPos val="t"/>
        <c:numFmt formatCode="General" sourceLinked="1"/>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60024996"/>
        <c:auto val="1"/>
        <c:lblAlgn val="ctr"/>
        <c:lblOffset val="100"/>
        <c:noMultiLvlLbl val="0"/>
      </c:catAx>
      <c:valAx>
        <c:axId val="60024996"/>
        <c:scaling>
          <c:orientation val="minMax"/>
        </c:scaling>
        <c:delete val="0"/>
        <c:axPos val="r"/>
        <c:numFmt formatCode="0.0\x"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90046598"/>
        <c:crosses val="max"/>
        <c:crossBetween val="between"/>
      </c:valAx>
      <c:spPr>
        <a:noFill/>
        <a:ln w="0">
          <a:noFill/>
        </a:ln>
      </c:spPr>
    </c:plotArea>
    <c:legend>
      <c:legendPos val="b"/>
      <c:overlay val="0"/>
      <c:spPr>
        <a:noFill/>
        <a:ln w="0">
          <a:noFill/>
        </a:ln>
      </c:spPr>
      <c:txPr>
        <a:bodyPr/>
        <a:lstStyle/>
        <a:p>
          <a:pPr>
            <a:defRPr b="0" sz="1000" spc="-1" strike="noStrike">
              <a:solidFill>
                <a:srgbClr val="000000"/>
              </a:solidFill>
              <a:latin typeface="Calibri"/>
            </a:defRPr>
          </a:pPr>
        </a:p>
      </c:txPr>
    </c:legend>
    <c:plotVisOnly val="1"/>
    <c:dispBlanksAs val="gap"/>
  </c:chart>
  <c:spPr>
    <a:solidFill>
      <a:srgbClr val="ffffff"/>
    </a:solidFill>
    <a:ln w="9360">
      <a:solidFill>
        <a:srgbClr val="d9d9d9"/>
      </a:solidFill>
      <a:round/>
    </a:ln>
  </c:spPr>
</c:chartSpace>
</file>

<file path=xl/charts/chart34.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lang="en-US" sz="1200" spc="-1" strike="noStrike">
                <a:solidFill>
                  <a:srgbClr val="000000"/>
                </a:solidFill>
                <a:latin typeface="Calibri"/>
              </a:defRPr>
            </a:pPr>
            <a:r>
              <a:rPr b="1" lang="en-US" sz="1200" spc="-1" strike="noStrike">
                <a:solidFill>
                  <a:srgbClr val="000000"/>
                </a:solidFill>
                <a:latin typeface="Calibri"/>
              </a:rPr>
              <a:t>HIW Implied Cap Rate vs. Private Office Cap Rates (2016-2025)</a:t>
            </a:r>
          </a:p>
        </c:rich>
      </c:tx>
      <c:overlay val="0"/>
      <c:spPr>
        <a:noFill/>
        <a:ln w="0">
          <a:noFill/>
        </a:ln>
      </c:spPr>
    </c:title>
    <c:autoTitleDeleted val="0"/>
    <c:plotArea>
      <c:layout>
        <c:manualLayout>
          <c:layoutTarget val="inner"/>
          <c:xMode val="edge"/>
          <c:yMode val="edge"/>
          <c:x val="0.100106002385054"/>
          <c:y val="0.160271228232393"/>
          <c:w val="0.79902610308732"/>
          <c:h val="0.619355832948066"/>
        </c:manualLayout>
      </c:layout>
      <c:scatterChart>
        <c:scatterStyle val="lineMarker"/>
        <c:varyColors val="0"/>
        <c:ser>
          <c:idx val="0"/>
          <c:order val="0"/>
          <c:tx>
            <c:strRef>
              <c:f>"HIW Implied Cap Rate (public pricing, year-end)"</c:f>
              <c:strCache>
                <c:ptCount val="1"/>
                <c:pt idx="0">
                  <c:v>HIW Implied Cap Rate (public pricing, year-end)</c:v>
                </c:pt>
              </c:strCache>
            </c:strRef>
          </c:tx>
          <c:spPr>
            <a:solidFill>
              <a:srgbClr val="a31f34"/>
            </a:solidFill>
            <a:ln w="28440">
              <a:solidFill>
                <a:srgbClr val="a31f34"/>
              </a:solidFill>
              <a:round/>
            </a:ln>
          </c:spPr>
          <c:marker>
            <c:symbol val="circle"/>
            <c:size val="5"/>
            <c:spPr>
              <a:solidFill>
                <a:srgbClr val="a31f34"/>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0"/>
            <c:extLst>
              <c:ext xmlns:c15="http://schemas.microsoft.com/office/drawing/2012/chart" uri="{CE6537A1-D6FC-4f65-9D91-7224C49458BB}">
                <c15:showLeaderLines val="0"/>
              </c:ext>
            </c:extLst>
          </c:dLbls>
          <c:xVal>
            <c:numRef>
              <c:f>'HIW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'HIW vs Market'!$B$4:$B$13</c:f>
              <c:numCache>
                <c:formatCode>0.00%</c:formatCode>
                <c:ptCount val="10"/>
                <c:pt idx="0">
                  <c:v>0.0631496445624503</c:v>
                </c:pt>
                <c:pt idx="1">
                  <c:v>0.0652783527061945</c:v>
                </c:pt>
                <c:pt idx="2">
                  <c:v>0.0830905865327657</c:v>
                </c:pt>
                <c:pt idx="3">
                  <c:v>0.0652390593673995</c:v>
                </c:pt>
                <c:pt idx="4">
                  <c:v>0.0812876245562147</c:v>
                </c:pt>
                <c:pt idx="5">
                  <c:v>0.0728234536513202</c:v>
                </c:pt>
                <c:pt idx="6">
                  <c:v>0.0970893873523745</c:v>
                </c:pt>
                <c:pt idx="7">
                  <c:v>0.108010544209411</c:v>
                </c:pt>
                <c:pt idx="8">
                  <c:v>0.090698486409249</c:v>
                </c:pt>
                <c:pt idx="9">
                  <c:v>0.092620222260445</c:v>
                </c:pt>
              </c:numCache>
            </c:numRef>
          </c:yVal>
          <c:smooth val="0"/>
        </c:ser>
        <c:ser>
          <c:idx val="1"/>
          <c:order val="1"/>
          <c:tx>
            <c:strRef>
              <c:f>"Green Street Nominal Cap Rate, 51-Market Wtd Avg (4Q)"</c:f>
              <c:strCache>
                <c:ptCount val="1"/>
                <c:pt idx="0">
                  <c:v>Green Street Nominal Cap Rate, 51-Market Wtd Avg (4Q)</c:v>
                </c:pt>
              </c:strCache>
            </c:strRef>
          </c:tx>
          <c:spPr>
            <a:solidFill>
              <a:srgbClr val="1f3b57"/>
            </a:solidFill>
            <a:ln w="28440">
              <a:solidFill>
                <a:srgbClr val="1f3b57"/>
              </a:solidFill>
              <a:round/>
            </a:ln>
          </c:spPr>
          <c:marker>
            <c:symbol val="square"/>
            <c:size val="5"/>
            <c:spPr>
              <a:solidFill>
                <a:srgbClr val="1f3b57"/>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0"/>
            <c:extLst>
              <c:ext xmlns:c15="http://schemas.microsoft.com/office/drawing/2012/chart" uri="{CE6537A1-D6FC-4f65-9D91-7224C49458BB}">
                <c15:showLeaderLines val="0"/>
              </c:ext>
            </c:extLst>
          </c:dLbls>
          <c:xVal>
            <c:numRef>
              <c:f>'HIW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'HIW vs Market'!$T$4:$T$13</c:f>
              <c:numCache>
                <c:formatCode>0.00%</c:formatCode>
                <c:ptCount val="10"/>
                <c:pt idx="0">
                  <c:v>0.05658714</c:v>
                </c:pt>
                <c:pt idx="1">
                  <c:v>0.05803697</c:v>
                </c:pt>
                <c:pt idx="2">
                  <c:v>0.0583128</c:v>
                </c:pt>
                <c:pt idx="3">
                  <c:v>0.05915908</c:v>
                </c:pt>
                <c:pt idx="4">
                  <c:v>0.06399001</c:v>
                </c:pt>
                <c:pt idx="5">
                  <c:v>0.06497242</c:v>
                </c:pt>
                <c:pt idx="6">
                  <c:v>0.07948753</c:v>
                </c:pt>
                <c:pt idx="7">
                  <c:v>0.10690485</c:v>
                </c:pt>
                <c:pt idx="8">
                  <c:v>0.10737802</c:v>
                </c:pt>
                <c:pt idx="9">
                  <c:v>0.1048993</c:v>
                </c:pt>
              </c:numCache>
            </c:numRef>
          </c:yVal>
          <c:smooth val="0"/>
        </c:ser>
        <c:ser>
          <c:idx val="2"/>
          <c:order val="2"/>
          <c:tx>
            <c:strRef>
              <c:f>"10-Yr UST Yield"</c:f>
              <c:strCache>
                <c:ptCount val="1"/>
                <c:pt idx="0">
                  <c:v>10-Yr UST Yield</c:v>
                </c:pt>
              </c:strCache>
            </c:strRef>
          </c:tx>
          <c:spPr>
            <a:solidFill>
              <a:srgbClr val="8a8a8a"/>
            </a:solidFill>
            <a:ln w="28440">
              <a:solidFill>
                <a:srgbClr val="8a8a8a"/>
              </a:solidFill>
              <a:prstDash val="sysDot"/>
              <a:round/>
            </a:ln>
          </c:spPr>
          <c:marker>
            <c:symbol val="dash"/>
            <c:size val="4"/>
            <c:spPr>
              <a:solidFill>
                <a:srgbClr val="8a8a8a"/>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0"/>
            <c:extLst>
              <c:ext xmlns:c15="http://schemas.microsoft.com/office/drawing/2012/chart" uri="{CE6537A1-D6FC-4f65-9D91-7224C49458BB}">
                <c15:showLeaderLines val="0"/>
              </c:ext>
            </c:extLst>
          </c:dLbls>
          <c:xVal>
            <c:numRef>
              <c:f>'HIW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'HIW vs Market'!$C$4:$C$13</c:f>
              <c:numCache>
                <c:formatCode>0.00%</c:formatCode>
                <c:ptCount val="10"/>
                <c:pt idx="0">
                  <c:v>0.0245</c:v>
                </c:pt>
                <c:pt idx="1">
                  <c:v>0.024</c:v>
                </c:pt>
                <c:pt idx="2">
                  <c:v>0.0269</c:v>
                </c:pt>
                <c:pt idx="3">
                  <c:v>0.0192</c:v>
                </c:pt>
                <c:pt idx="4">
                  <c:v>0.0093</c:v>
                </c:pt>
                <c:pt idx="5">
                  <c:v>0.0152</c:v>
                </c:pt>
                <c:pt idx="6">
                  <c:v>0.0388</c:v>
                </c:pt>
                <c:pt idx="7">
                  <c:v>0.0388</c:v>
                </c:pt>
                <c:pt idx="8">
                  <c:v>0.0458</c:v>
                </c:pt>
                <c:pt idx="9">
                  <c:v>0.0418</c:v>
                </c:pt>
              </c:numCache>
            </c:numRef>
          </c:yVal>
          <c:smooth val="0"/>
        </c:ser>
        <c:axId val="71759232"/>
        <c:axId val="39149102"/>
      </c:scatterChart>
      <c:valAx>
        <c:axId val="71759232"/>
        <c:scaling>
          <c:orientation val="minMax"/>
        </c:scaling>
        <c:delete val="0"/>
        <c:axPos val="b"/>
        <c:numFmt formatCode="0" sourceLinked="0"/>
        <c:majorTickMark val="none"/>
        <c:minorTickMark val="none"/>
        <c:tickLblPos val="low"/>
        <c:spPr>
          <a:ln w="0">
            <a:solidFill>
              <a:srgbClr val="b3b3b3"/>
            </a:solidFill>
          </a:ln>
        </c:spPr>
        <c:txPr>
          <a:bodyPr/>
          <a:lstStyle/>
          <a:p>
            <a:pPr>
              <a:defRPr b="0" sz="1000" spc="-1" strike="noStrike">
                <a:solidFill>
                  <a:srgbClr val="000000"/>
                </a:solidFill>
                <a:latin typeface="Calibri"/>
              </a:defRPr>
            </a:pPr>
          </a:p>
        </c:txPr>
        <c:crossAx val="39149102"/>
        <c:crosses val="autoZero"/>
        <c:crossBetween val="midCat"/>
        <c:majorUnit val="1"/>
      </c:valAx>
      <c:valAx>
        <c:axId val="39149102"/>
        <c:scaling>
          <c:orientation val="minMax"/>
        </c:scaling>
        <c:delete val="0"/>
        <c:axPos val="l"/>
        <c:majorGridlines>
          <c:spPr>
            <a:ln w="0">
              <a:solidFill>
                <a:srgbClr val="b3b3b3"/>
              </a:solidFill>
            </a:ln>
          </c:spPr>
        </c:majorGridlines>
        <c:numFmt formatCode="0.0%"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71759232"/>
        <c:crosses val="autoZero"/>
        <c:crossBetween val="midCat"/>
      </c:valAx>
      <c:spPr>
        <a:noFill/>
        <a:ln w="0">
          <a:noFill/>
        </a:ln>
      </c:spPr>
    </c:plotArea>
    <c:legend>
      <c:legendPos val="b"/>
      <c:overlay val="0"/>
      <c:spPr>
        <a:noFill/>
        <a:ln w="0">
          <a:noFill/>
        </a:ln>
      </c:spPr>
      <c:txPr>
        <a:bodyPr/>
        <a:lstStyle/>
        <a:p>
          <a:pPr>
            <a:defRPr b="0" sz="1000" spc="-1" strike="noStrike">
              <a:solidFill>
                <a:srgbClr val="000000"/>
              </a:solidFill>
              <a:latin typeface="Calibri"/>
            </a:defRPr>
          </a:pPr>
        </a:p>
      </c:txPr>
    </c:legend>
    <c:plotVisOnly val="1"/>
    <c:dispBlanksAs val="gap"/>
  </c:chart>
  <c:spPr>
    <a:solidFill>
      <a:srgbClr val="ffffff"/>
    </a:solidFill>
    <a:ln w="9360">
      <a:solidFill>
        <a:srgbClr val="d9d9d9"/>
      </a:solidFill>
      <a:round/>
    </a:ln>
  </c:spPr>
</c:chartSpace>
</file>

<file path=xl/charts/chart35.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lang="en-US" sz="1200" spc="-1" strike="noStrike">
                <a:solidFill>
                  <a:srgbClr val="000000"/>
                </a:solidFill>
                <a:latin typeface="Calibri"/>
              </a:defRPr>
            </a:pPr>
            <a:r>
              <a:rPr b="1" lang="en-US" sz="1200" spc="-1" strike="noStrike">
                <a:solidFill>
                  <a:srgbClr val="000000"/>
                </a:solidFill>
                <a:latin typeface="Calibri"/>
              </a:rPr>
              <a:t>Office Values vs. Construction Costs vs. CPI, Indexed to 2016 (2016-2025)</a:t>
            </a:r>
          </a:p>
        </c:rich>
      </c:tx>
      <c:overlay val="0"/>
      <c:spPr>
        <a:noFill/>
        <a:ln w="0">
          <a:noFill/>
        </a:ln>
      </c:spPr>
    </c:title>
    <c:autoTitleDeleted val="0"/>
    <c:plotArea>
      <c:layout>
        <c:manualLayout>
          <c:layoutTarget val="inner"/>
          <c:xMode val="edge"/>
          <c:yMode val="edge"/>
          <c:x val="0.100106002385054"/>
          <c:y val="0.160271228232393"/>
          <c:w val="0.79902610308732"/>
          <c:h val="0.619355832948066"/>
        </c:manualLayout>
      </c:layout>
      <c:scatterChart>
        <c:scatterStyle val="lineMarker"/>
        <c:varyColors val="0"/>
        <c:ser>
          <c:idx val="0"/>
          <c:order val="0"/>
          <c:tx>
            <c:strRef>
              <c:f>"Office Property Values (Green Street CPPI)"</c:f>
              <c:strCache>
                <c:ptCount val="1"/>
                <c:pt idx="0">
                  <c:v>Office Property Values (Green Street CPPI)</c:v>
                </c:pt>
              </c:strCache>
            </c:strRef>
          </c:tx>
          <c:spPr>
            <a:solidFill>
              <a:srgbClr val="a31f34"/>
            </a:solidFill>
            <a:ln w="28440">
              <a:solidFill>
                <a:srgbClr val="a31f34"/>
              </a:solidFill>
              <a:round/>
            </a:ln>
          </c:spPr>
          <c:marker>
            <c:symbol val="circle"/>
            <c:size val="5"/>
            <c:spPr>
              <a:solidFill>
                <a:srgbClr val="a31f34"/>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0"/>
            <c:extLst>
              <c:ext xmlns:c15="http://schemas.microsoft.com/office/drawing/2012/chart" uri="{CE6537A1-D6FC-4f65-9D91-7224C49458BB}">
                <c15:showLeaderLines val="0"/>
              </c:ext>
            </c:extLst>
          </c:dLbls>
          <c:xVal>
            <c:numRef>
              <c:f>'HIW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'HIW vs Market'!$U$4:$U$13</c:f>
              <c:numCache>
                <c:formatCode>#,##0</c:formatCode>
                <c:ptCount val="10"/>
                <c:pt idx="0">
                  <c:v>100</c:v>
                </c:pt>
                <c:pt idx="1">
                  <c:v>102.414193258894</c:v>
                </c:pt>
                <c:pt idx="2">
                  <c:v>102.121786086096</c:v>
                </c:pt>
                <c:pt idx="3">
                  <c:v>104.704183104862</c:v>
                </c:pt>
                <c:pt idx="4">
                  <c:v>97.1388418279712</c:v>
                </c:pt>
                <c:pt idx="5">
                  <c:v>96.7262233029072</c:v>
                </c:pt>
                <c:pt idx="6">
                  <c:v>75.3039532955945</c:v>
                </c:pt>
                <c:pt idx="7">
                  <c:v>44.7050530590909</c:v>
                </c:pt>
                <c:pt idx="8">
                  <c:v>43.6731644078836</c:v>
                </c:pt>
                <c:pt idx="9">
                  <c:v>44.169712307612</c:v>
                </c:pt>
              </c:numCache>
            </c:numRef>
          </c:yVal>
          <c:smooth val="0"/>
        </c:ser>
        <c:ser>
          <c:idx val="1"/>
          <c:order val="1"/>
          <c:tx>
            <c:strRef>
              <c:f>"Non-Residential Construction Costs (PPI)"</c:f>
              <c:strCache>
                <c:ptCount val="1"/>
                <c:pt idx="0">
                  <c:v>Non-Residential Construction Costs (PPI)</c:v>
                </c:pt>
              </c:strCache>
            </c:strRef>
          </c:tx>
          <c:spPr>
            <a:solidFill>
              <a:srgbClr val="1f3b57"/>
            </a:solidFill>
            <a:ln w="28440">
              <a:solidFill>
                <a:srgbClr val="1f3b57"/>
              </a:solidFill>
              <a:round/>
            </a:ln>
          </c:spPr>
          <c:marker>
            <c:symbol val="square"/>
            <c:size val="5"/>
            <c:spPr>
              <a:solidFill>
                <a:srgbClr val="1f3b57"/>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0"/>
            <c:extLst>
              <c:ext xmlns:c15="http://schemas.microsoft.com/office/drawing/2012/chart" uri="{CE6537A1-D6FC-4f65-9D91-7224C49458BB}">
                <c15:showLeaderLines val="0"/>
              </c:ext>
            </c:extLst>
          </c:dLbls>
          <c:xVal>
            <c:numRef>
              <c:f>'HIW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'HIW vs Market'!$V$4:$V$13</c:f>
              <c:numCache>
                <c:formatCode>#,##0</c:formatCode>
                <c:ptCount val="10"/>
                <c:pt idx="0">
                  <c:v>100</c:v>
                </c:pt>
                <c:pt idx="1">
                  <c:v>102.196167016261</c:v>
                </c:pt>
                <c:pt idx="2">
                  <c:v>106.491690421126</c:v>
                </c:pt>
                <c:pt idx="3">
                  <c:v>111.952526936661</c:v>
                </c:pt>
                <c:pt idx="4">
                  <c:v>114.716111798347</c:v>
                </c:pt>
                <c:pt idx="5">
                  <c:v>120.671758188566</c:v>
                </c:pt>
                <c:pt idx="6">
                  <c:v>144.713064056365</c:v>
                </c:pt>
                <c:pt idx="7">
                  <c:v>156.117893831012</c:v>
                </c:pt>
                <c:pt idx="8">
                  <c:v>156.281037666505</c:v>
                </c:pt>
                <c:pt idx="9">
                  <c:v>158.821420247764</c:v>
                </c:pt>
              </c:numCache>
            </c:numRef>
          </c:yVal>
          <c:smooth val="0"/>
        </c:ser>
        <c:ser>
          <c:idx val="2"/>
          <c:order val="2"/>
          <c:tx>
            <c:strRef>
              <c:f>"CPI (All Urban Consumers)"</c:f>
              <c:strCache>
                <c:ptCount val="1"/>
                <c:pt idx="0">
                  <c:v>CPI (All Urban Consumers)</c:v>
                </c:pt>
              </c:strCache>
            </c:strRef>
          </c:tx>
          <c:spPr>
            <a:solidFill>
              <a:srgbClr val="8a8a8a"/>
            </a:solidFill>
            <a:ln w="28440">
              <a:solidFill>
                <a:srgbClr val="8a8a8a"/>
              </a:solidFill>
              <a:prstDash val="dash"/>
              <a:round/>
            </a:ln>
          </c:spPr>
          <c:marker>
            <c:symbol val="dash"/>
            <c:size val="4"/>
            <c:spPr>
              <a:solidFill>
                <a:srgbClr val="8a8a8a"/>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0"/>
            <c:extLst>
              <c:ext xmlns:c15="http://schemas.microsoft.com/office/drawing/2012/chart" uri="{CE6537A1-D6FC-4f65-9D91-7224C49458BB}">
                <c15:showLeaderLines val="0"/>
              </c:ext>
            </c:extLst>
          </c:dLbls>
          <c:xVal>
            <c:numRef>
              <c:f>'HIW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'HIW vs Market'!$W$4:$W$13</c:f>
              <c:numCache>
                <c:formatCode>#,##0</c:formatCode>
                <c:ptCount val="10"/>
                <c:pt idx="0">
                  <c:v>100</c:v>
                </c:pt>
                <c:pt idx="1">
                  <c:v>102.13162225787</c:v>
                </c:pt>
                <c:pt idx="2">
                  <c:v>104.622820357909</c:v>
                </c:pt>
                <c:pt idx="3">
                  <c:v>106.519864169497</c:v>
                </c:pt>
                <c:pt idx="4">
                  <c:v>107.85441969959</c:v>
                </c:pt>
                <c:pt idx="5">
                  <c:v>112.903064519489</c:v>
                </c:pt>
                <c:pt idx="6">
                  <c:v>121.924959896669</c:v>
                </c:pt>
                <c:pt idx="7">
                  <c:v>126.956938397117</c:v>
                </c:pt>
                <c:pt idx="8">
                  <c:v>130.704776983813</c:v>
                </c:pt>
                <c:pt idx="9">
                  <c:v>134.14803858253</c:v>
                </c:pt>
              </c:numCache>
            </c:numRef>
          </c:yVal>
          <c:smooth val="0"/>
        </c:ser>
        <c:axId val="36774156"/>
        <c:axId val="12654405"/>
      </c:scatterChart>
      <c:valAx>
        <c:axId val="36774156"/>
        <c:scaling>
          <c:orientation val="minMax"/>
        </c:scaling>
        <c:delete val="0"/>
        <c:axPos val="b"/>
        <c:numFmt formatCode="0" sourceLinked="0"/>
        <c:majorTickMark val="none"/>
        <c:minorTickMark val="none"/>
        <c:tickLblPos val="low"/>
        <c:spPr>
          <a:ln w="0">
            <a:solidFill>
              <a:srgbClr val="b3b3b3"/>
            </a:solidFill>
          </a:ln>
        </c:spPr>
        <c:txPr>
          <a:bodyPr/>
          <a:lstStyle/>
          <a:p>
            <a:pPr>
              <a:defRPr b="0" sz="1000" spc="-1" strike="noStrike">
                <a:solidFill>
                  <a:srgbClr val="000000"/>
                </a:solidFill>
                <a:latin typeface="Calibri"/>
              </a:defRPr>
            </a:pPr>
          </a:p>
        </c:txPr>
        <c:crossAx val="12654405"/>
        <c:crosses val="autoZero"/>
        <c:crossBetween val="midCat"/>
        <c:majorUnit val="1"/>
      </c:valAx>
      <c:valAx>
        <c:axId val="12654405"/>
        <c:scaling>
          <c:orientation val="minMax"/>
        </c:scaling>
        <c:delete val="0"/>
        <c:axPos val="l"/>
        <c:majorGridlines>
          <c:spPr>
            <a:ln w="0">
              <a:solidFill>
                <a:srgbClr val="b3b3b3"/>
              </a:solidFill>
            </a:ln>
          </c:spPr>
        </c:majorGridlines>
        <c:numFmt formatCode="0"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36774156"/>
        <c:crosses val="autoZero"/>
        <c:crossBetween val="midCat"/>
      </c:valAx>
      <c:spPr>
        <a:noFill/>
        <a:ln w="0">
          <a:noFill/>
        </a:ln>
      </c:spPr>
    </c:plotArea>
    <c:legend>
      <c:legendPos val="b"/>
      <c:overlay val="0"/>
      <c:spPr>
        <a:noFill/>
        <a:ln w="0">
          <a:noFill/>
        </a:ln>
      </c:spPr>
      <c:txPr>
        <a:bodyPr/>
        <a:lstStyle/>
        <a:p>
          <a:pPr>
            <a:defRPr b="0" sz="1000" spc="-1" strike="noStrike">
              <a:solidFill>
                <a:srgbClr val="000000"/>
              </a:solidFill>
              <a:latin typeface="Calibri"/>
            </a:defRPr>
          </a:pPr>
        </a:p>
      </c:txPr>
    </c:legend>
    <c:plotVisOnly val="1"/>
    <c:dispBlanksAs val="gap"/>
  </c:chart>
  <c:spPr>
    <a:solidFill>
      <a:srgbClr val="ffffff"/>
    </a:solidFill>
    <a:ln w="9360">
      <a:solidFill>
        <a:srgbClr val="d9d9d9"/>
      </a:solidFill>
      <a:round/>
    </a:ln>
  </c:spPr>
</c:chartSpace>
</file>

<file path=xl/charts/chart36.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lang="en-US" sz="1200" spc="-1" strike="noStrike">
                <a:solidFill>
                  <a:srgbClr val="000000"/>
                </a:solidFill>
                <a:latin typeface="Calibri"/>
              </a:defRPr>
            </a:pPr>
            <a:r>
              <a:rPr b="1" lang="en-US" sz="1200" spc="-1" strike="noStrike">
                <a:solidFill>
                  <a:srgbClr val="000000"/>
                </a:solidFill>
                <a:latin typeface="Calibri"/>
              </a:rPr>
              <a:t>Market Asking Rent and Occupancy (2016-2025)
Left axis: CoStar market asking rent, $/SF. Right axis: occupancy (100% less vacancy).</a:t>
            </a:r>
          </a:p>
        </c:rich>
      </c:tx>
      <c:overlay val="0"/>
      <c:spPr>
        <a:noFill/>
        <a:ln w="0">
          <a:noFill/>
        </a:ln>
      </c:spPr>
    </c:title>
    <c:autoTitleDeleted val="0"/>
    <c:plotArea>
      <c:layout>
        <c:manualLayout>
          <c:layoutTarget val="inner"/>
          <c:xMode val="edge"/>
          <c:yMode val="edge"/>
          <c:x val="0.100106002385054"/>
          <c:y val="0.160271228232393"/>
          <c:w val="0.79902610308732"/>
          <c:h val="0.619355832948066"/>
        </c:manualLayout>
      </c:layout>
      <c:scatterChart>
        <c:scatterStyle val="lineMarker"/>
        <c:varyColors val="0"/>
        <c:ser>
          <c:idx val="0"/>
          <c:order val="0"/>
          <c:tx>
            <c:strRef>
              <c:f>"CoStar Market Asking Rent ($/SF, left)"</c:f>
              <c:strCache>
                <c:ptCount val="1"/>
                <c:pt idx="0">
                  <c:v>CoStar Market Asking Rent ($/SF, left)</c:v>
                </c:pt>
              </c:strCache>
            </c:strRef>
          </c:tx>
          <c:spPr>
            <a:solidFill>
              <a:srgbClr val="a31f34"/>
            </a:solidFill>
            <a:ln w="28440">
              <a:solidFill>
                <a:srgbClr val="a31f34"/>
              </a:solidFill>
              <a:round/>
            </a:ln>
          </c:spPr>
          <c:marker>
            <c:symbol val="circle"/>
            <c:size val="5"/>
            <c:spPr>
              <a:solidFill>
                <a:srgbClr val="a31f34"/>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0"/>
            <c:extLst>
              <c:ext xmlns:c15="http://schemas.microsoft.com/office/drawing/2012/chart" uri="{CE6537A1-D6FC-4f65-9D91-7224C49458BB}">
                <c15:showLeaderLines val="0"/>
              </c:ext>
            </c:extLst>
          </c:dLbls>
          <c:xVal>
            <c:numRef>
              <c:f>'HIW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'HIW vs Market'!$AA$4:$AA$13</c:f>
              <c:numCache>
                <c:formatCode>#,##0</c:formatCode>
                <c:ptCount val="10"/>
                <c:pt idx="0">
                  <c:v>31.6313190637154</c:v>
                </c:pt>
                <c:pt idx="1">
                  <c:v>32.3851045859914</c:v>
                </c:pt>
                <c:pt idx="2">
                  <c:v>33.365978832824</c:v>
                </c:pt>
                <c:pt idx="3">
                  <c:v>34.5498725143906</c:v>
                </c:pt>
                <c:pt idx="4">
                  <c:v>34.0125009840526</c:v>
                </c:pt>
                <c:pt idx="5">
                  <c:v>34.3147010369627</c:v>
                </c:pt>
                <c:pt idx="6">
                  <c:v>34.9589096868985</c:v>
                </c:pt>
                <c:pt idx="7">
                  <c:v>35.3207484274751</c:v>
                </c:pt>
                <c:pt idx="8">
                  <c:v>36.0129883425729</c:v>
                </c:pt>
                <c:pt idx="9">
                  <c:v>36.7572621381188</c:v>
                </c:pt>
              </c:numCache>
            </c:numRef>
          </c:yVal>
          <c:smooth val="0"/>
        </c:ser>
        <c:axId val="28819431"/>
        <c:axId val="65071054"/>
      </c:scatterChart>
      <c:scatterChart>
        <c:scatterStyle val="lineMarker"/>
        <c:varyColors val="0"/>
        <c:ser>
          <c:idx val="1"/>
          <c:order val="1"/>
          <c:tx>
            <c:strRef>
              <c:f>"CoStar National Occupancy (right)"</c:f>
              <c:strCache>
                <c:ptCount val="1"/>
                <c:pt idx="0">
                  <c:v>CoStar National Occupancy (right)</c:v>
                </c:pt>
              </c:strCache>
            </c:strRef>
          </c:tx>
          <c:spPr>
            <a:solidFill>
              <a:srgbClr val="8a8a8a"/>
            </a:solidFill>
            <a:ln w="28440">
              <a:solidFill>
                <a:srgbClr val="8a8a8a"/>
              </a:solidFill>
              <a:prstDash val="dash"/>
              <a:round/>
            </a:ln>
          </c:spPr>
          <c:marker>
            <c:symbol val="diamond"/>
            <c:size val="4"/>
            <c:spPr>
              <a:solidFill>
                <a:srgbClr val="8a8a8a"/>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0"/>
            <c:extLst>
              <c:ext xmlns:c15="http://schemas.microsoft.com/office/drawing/2012/chart" uri="{CE6537A1-D6FC-4f65-9D91-7224C49458BB}">
                <c15:showLeaderLines val="0"/>
              </c:ext>
            </c:extLst>
          </c:dLbls>
          <c:xVal>
            <c:numRef>
              <c:f>'HIW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'HIW vs Market'!$AB$4:$AB$13</c:f>
              <c:numCache>
                <c:formatCode>0.0%</c:formatCode>
                <c:ptCount val="10"/>
                <c:pt idx="0">
                  <c:v>0.90292644820865</c:v>
                </c:pt>
                <c:pt idx="1">
                  <c:v>0.904512025125065</c:v>
                </c:pt>
                <c:pt idx="2">
                  <c:v>0.906788544184796</c:v>
                </c:pt>
                <c:pt idx="3">
                  <c:v>0.90640074478559</c:v>
                </c:pt>
                <c:pt idx="4">
                  <c:v>0.892342836722361</c:v>
                </c:pt>
                <c:pt idx="5">
                  <c:v>0.881820255291229</c:v>
                </c:pt>
                <c:pt idx="6">
                  <c:v>0.876175318494471</c:v>
                </c:pt>
                <c:pt idx="7">
                  <c:v>0.865204674783267</c:v>
                </c:pt>
                <c:pt idx="8">
                  <c:v>0.860445979092512</c:v>
                </c:pt>
                <c:pt idx="9">
                  <c:v>0.859618577591907</c:v>
                </c:pt>
              </c:numCache>
            </c:numRef>
          </c:yVal>
          <c:smooth val="0"/>
        </c:ser>
        <c:axId val="31144613"/>
        <c:axId val="29192785"/>
      </c:scatterChart>
      <c:valAx>
        <c:axId val="28819431"/>
        <c:scaling>
          <c:orientation val="minMax"/>
        </c:scaling>
        <c:delete val="0"/>
        <c:axPos val="b"/>
        <c:numFmt formatCode="0" sourceLinked="0"/>
        <c:majorTickMark val="none"/>
        <c:minorTickMark val="none"/>
        <c:tickLblPos val="low"/>
        <c:spPr>
          <a:ln w="0">
            <a:solidFill>
              <a:srgbClr val="b3b3b3"/>
            </a:solidFill>
          </a:ln>
        </c:spPr>
        <c:txPr>
          <a:bodyPr/>
          <a:lstStyle/>
          <a:p>
            <a:pPr>
              <a:defRPr b="0" sz="1000" spc="-1" strike="noStrike">
                <a:solidFill>
                  <a:srgbClr val="000000"/>
                </a:solidFill>
                <a:latin typeface="Calibri"/>
              </a:defRPr>
            </a:pPr>
          </a:p>
        </c:txPr>
        <c:crossAx val="65071054"/>
        <c:crosses val="autoZero"/>
        <c:crossBetween val="midCat"/>
        <c:majorUnit val="1"/>
      </c:valAx>
      <c:valAx>
        <c:axId val="65071054"/>
        <c:scaling>
          <c:orientation val="minMax"/>
        </c:scaling>
        <c:delete val="0"/>
        <c:axPos val="l"/>
        <c:majorGridlines>
          <c:spPr>
            <a:ln w="0">
              <a:solidFill>
                <a:srgbClr val="b3b3b3"/>
              </a:solidFill>
            </a:ln>
          </c:spPr>
        </c:majorGridlines>
        <c:numFmt formatCode="\$0.00"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28819431"/>
        <c:crosses val="autoZero"/>
        <c:crossBetween val="midCat"/>
      </c:valAx>
      <c:valAx>
        <c:axId val="31144613"/>
        <c:scaling>
          <c:orientation val="minMax"/>
        </c:scaling>
        <c:delete val="1"/>
        <c:axPos val="t"/>
        <c:numFmt formatCode="General" sourceLinked="1"/>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29192785"/>
        <c:crossBetween val="midCat"/>
        <c:majorUnit val="1"/>
      </c:valAx>
      <c:valAx>
        <c:axId val="29192785"/>
        <c:scaling>
          <c:orientation val="minMax"/>
        </c:scaling>
        <c:delete val="0"/>
        <c:axPos val="r"/>
        <c:numFmt formatCode="0.0%"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31144613"/>
        <c:crosses val="max"/>
        <c:crossBetween val="midCat"/>
      </c:valAx>
      <c:spPr>
        <a:noFill/>
        <a:ln w="0">
          <a:noFill/>
        </a:ln>
      </c:spPr>
    </c:plotArea>
    <c:legend>
      <c:legendPos val="b"/>
      <c:overlay val="0"/>
      <c:spPr>
        <a:noFill/>
        <a:ln w="0">
          <a:noFill/>
        </a:ln>
      </c:spPr>
      <c:txPr>
        <a:bodyPr/>
        <a:lstStyle/>
        <a:p>
          <a:pPr>
            <a:defRPr b="0" sz="1000" spc="-1" strike="noStrike">
              <a:solidFill>
                <a:srgbClr val="000000"/>
              </a:solidFill>
              <a:latin typeface="Calibri"/>
            </a:defRPr>
          </a:pPr>
        </a:p>
      </c:txPr>
    </c:legend>
    <c:plotVisOnly val="1"/>
    <c:dispBlanksAs val="gap"/>
  </c:chart>
  <c:spPr>
    <a:solidFill>
      <a:srgbClr val="ffffff"/>
    </a:solidFill>
    <a:ln w="9360">
      <a:solidFill>
        <a:srgbClr val="d9d9d9"/>
      </a:solidFill>
      <a:round/>
    </a:ln>
  </c:spPr>
</c:chartSpace>
</file>

<file path=xl/charts/chart37.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lang="en-US" sz="1200" spc="-1" strike="noStrike">
                <a:solidFill>
                  <a:srgbClr val="000000"/>
                </a:solidFill>
                <a:latin typeface="Calibri"/>
              </a:defRPr>
            </a:pPr>
            <a:r>
              <a:rPr b="1" lang="en-US" sz="1200" spc="-1" strike="noStrike">
                <a:solidFill>
                  <a:srgbClr val="000000"/>
                </a:solidFill>
                <a:latin typeface="Calibri"/>
              </a:rPr>
              <a:t>Asking Rent and Market-RevPAF (Indexed, 2016 = 100) and Vacancy (2016-2025)</a:t>
            </a:r>
          </a:p>
        </c:rich>
      </c:tx>
      <c:overlay val="0"/>
      <c:spPr>
        <a:noFill/>
        <a:ln w="0">
          <a:noFill/>
        </a:ln>
      </c:spPr>
    </c:title>
    <c:autoTitleDeleted val="0"/>
    <c:plotArea>
      <c:layout>
        <c:manualLayout>
          <c:layoutTarget val="inner"/>
          <c:xMode val="edge"/>
          <c:yMode val="edge"/>
          <c:x val="0.100106002385054"/>
          <c:y val="0.160271228232393"/>
          <c:w val="0.79902610308732"/>
          <c:h val="0.619355832948066"/>
        </c:manualLayout>
      </c:layout>
      <c:scatterChart>
        <c:scatterStyle val="lineMarker"/>
        <c:varyColors val="0"/>
        <c:ser>
          <c:idx val="0"/>
          <c:order val="0"/>
          <c:tx>
            <c:strRef>
              <c:f>"CoStar Market Asking Rent (2016 = 100)"</c:f>
              <c:strCache>
                <c:ptCount val="1"/>
                <c:pt idx="0">
                  <c:v>CoStar Market Asking Rent (2016 = 100)</c:v>
                </c:pt>
              </c:strCache>
            </c:strRef>
          </c:tx>
          <c:spPr>
            <a:solidFill>
              <a:srgbClr val="1f3b57"/>
            </a:solidFill>
            <a:ln w="28440">
              <a:solidFill>
                <a:srgbClr val="1f3b57"/>
              </a:solidFill>
              <a:round/>
            </a:ln>
          </c:spPr>
          <c:marker>
            <c:symbol val="circle"/>
            <c:size val="5"/>
            <c:spPr>
              <a:solidFill>
                <a:srgbClr val="1f3b57"/>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xVal>
            <c:numRef>
              <c:f>'HIW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'HIW vs Market'!$X$4:$X$13</c:f>
              <c:numCache>
                <c:formatCode>#,##0</c:formatCode>
                <c:ptCount val="10"/>
                <c:pt idx="0">
                  <c:v>100</c:v>
                </c:pt>
                <c:pt idx="1">
                  <c:v>102.38303537313</c:v>
                </c:pt>
                <c:pt idx="2">
                  <c:v>105.483994409511</c:v>
                </c:pt>
                <c:pt idx="3">
                  <c:v>109.226783887186</c:v>
                </c:pt>
                <c:pt idx="4">
                  <c:v>107.527924825205</c:v>
                </c:pt>
                <c:pt idx="5">
                  <c:v>108.483307217894</c:v>
                </c:pt>
                <c:pt idx="6">
                  <c:v>110.5199236759</c:v>
                </c:pt>
                <c:pt idx="7">
                  <c:v>111.663849225915</c:v>
                </c:pt>
                <c:pt idx="8">
                  <c:v>113.852312861286</c:v>
                </c:pt>
                <c:pt idx="9">
                  <c:v>116.20527763663</c:v>
                </c:pt>
              </c:numCache>
            </c:numRef>
          </c:yVal>
          <c:smooth val="0"/>
        </c:ser>
        <c:ser>
          <c:idx val="1"/>
          <c:order val="1"/>
          <c:tx>
            <c:strRef>
              <c:f>"Green Street Market-RevPAF (2016 = 100)"</c:f>
              <c:strCache>
                <c:ptCount val="1"/>
                <c:pt idx="0">
                  <c:v>Green Street Market-RevPAF (2016 = 100)</c:v>
                </c:pt>
              </c:strCache>
            </c:strRef>
          </c:tx>
          <c:spPr>
            <a:solidFill>
              <a:srgbClr val="a31f34"/>
            </a:solidFill>
            <a:ln w="28440">
              <a:solidFill>
                <a:srgbClr val="a31f34"/>
              </a:solidFill>
              <a:round/>
            </a:ln>
          </c:spPr>
          <c:marker>
            <c:symbol val="square"/>
            <c:size val="5"/>
            <c:spPr>
              <a:solidFill>
                <a:srgbClr val="a31f34"/>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xVal>
            <c:numRef>
              <c:f>'HIW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'HIW vs Market'!$AC$4:$AC$13</c:f>
              <c:numCache>
                <c:formatCode>#,##0</c:formatCode>
                <c:ptCount val="10"/>
                <c:pt idx="0">
                  <c:v>100</c:v>
                </c:pt>
                <c:pt idx="1">
                  <c:v>100.975579</c:v>
                </c:pt>
                <c:pt idx="2">
                  <c:v>103.226424621733</c:v>
                </c:pt>
                <c:pt idx="3">
                  <c:v>106.89745976697</c:v>
                </c:pt>
                <c:pt idx="4">
                  <c:v>98.4649530678906</c:v>
                </c:pt>
                <c:pt idx="5">
                  <c:v>93.1790698234918</c:v>
                </c:pt>
                <c:pt idx="6">
                  <c:v>89.7142499062681</c:v>
                </c:pt>
                <c:pt idx="7">
                  <c:v>84.973646666976</c:v>
                </c:pt>
                <c:pt idx="8">
                  <c:v>83.3969988912113</c:v>
                </c:pt>
                <c:pt idx="9">
                  <c:v>83.4585992504723</c:v>
                </c:pt>
              </c:numCache>
            </c:numRef>
          </c:yVal>
          <c:smooth val="0"/>
        </c:ser>
        <c:axId val="59700943"/>
        <c:axId val="48913099"/>
      </c:scatterChart>
      <c:scatterChart>
        <c:scatterStyle val="lineMarker"/>
        <c:varyColors val="0"/>
        <c:ser>
          <c:idx val="2"/>
          <c:order val="2"/>
          <c:tx>
            <c:strRef>
              <c:f>"CoStar National Vacancy (%)"</c:f>
              <c:strCache>
                <c:ptCount val="1"/>
                <c:pt idx="0">
                  <c:v>CoStar National Vacancy (%)</c:v>
                </c:pt>
              </c:strCache>
            </c:strRef>
          </c:tx>
          <c:spPr>
            <a:solidFill>
              <a:srgbClr val="8a8a8a"/>
            </a:solidFill>
            <a:ln w="28440">
              <a:solidFill>
                <a:srgbClr val="8a8a8a"/>
              </a:solidFill>
              <a:prstDash val="dash"/>
              <a:round/>
            </a:ln>
          </c:spPr>
          <c:marker>
            <c:symbol val="diamond"/>
            <c:size val="4"/>
            <c:spPr>
              <a:solidFill>
                <a:srgbClr val="8a8a8a"/>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xVal>
            <c:numRef>
              <c:f>'HIW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'HIW vs Market'!$G$4:$G$13</c:f>
              <c:numCache>
                <c:formatCode>0.00%</c:formatCode>
                <c:ptCount val="10"/>
                <c:pt idx="0">
                  <c:v>0.0970735517913501</c:v>
                </c:pt>
                <c:pt idx="1">
                  <c:v>0.0954879748749349</c:v>
                </c:pt>
                <c:pt idx="2">
                  <c:v>0.0932114558152037</c:v>
                </c:pt>
                <c:pt idx="3">
                  <c:v>0.0935992552144097</c:v>
                </c:pt>
                <c:pt idx="4">
                  <c:v>0.107657163277639</c:v>
                </c:pt>
                <c:pt idx="5">
                  <c:v>0.118179744708771</c:v>
                </c:pt>
                <c:pt idx="6">
                  <c:v>0.123824681505529</c:v>
                </c:pt>
                <c:pt idx="7">
                  <c:v>0.134795325216733</c:v>
                </c:pt>
                <c:pt idx="8">
                  <c:v>0.139554020907488</c:v>
                </c:pt>
                <c:pt idx="9">
                  <c:v>0.140381422408093</c:v>
                </c:pt>
              </c:numCache>
            </c:numRef>
          </c:yVal>
          <c:smooth val="0"/>
        </c:ser>
        <c:axId val="78309442"/>
        <c:axId val="34523868"/>
      </c:scatterChart>
      <c:valAx>
        <c:axId val="59700943"/>
        <c:scaling>
          <c:orientation val="minMax"/>
        </c:scaling>
        <c:delete val="0"/>
        <c:axPos val="b"/>
        <c:numFmt formatCode="0" sourceLinked="0"/>
        <c:majorTickMark val="none"/>
        <c:minorTickMark val="none"/>
        <c:tickLblPos val="low"/>
        <c:spPr>
          <a:ln w="0">
            <a:solidFill>
              <a:srgbClr val="b3b3b3"/>
            </a:solidFill>
          </a:ln>
        </c:spPr>
        <c:txPr>
          <a:bodyPr/>
          <a:lstStyle/>
          <a:p>
            <a:pPr>
              <a:defRPr b="0" sz="1000" spc="-1" strike="noStrike">
                <a:solidFill>
                  <a:srgbClr val="000000"/>
                </a:solidFill>
                <a:latin typeface="Calibri"/>
              </a:defRPr>
            </a:pPr>
          </a:p>
        </c:txPr>
        <c:crossAx val="48913099"/>
        <c:crosses val="autoZero"/>
        <c:crossBetween val="midCat"/>
        <c:majorUnit val="1"/>
      </c:valAx>
      <c:valAx>
        <c:axId val="48913099"/>
        <c:scaling>
          <c:orientation val="minMax"/>
        </c:scaling>
        <c:delete val="0"/>
        <c:axPos val="l"/>
        <c:majorGridlines>
          <c:spPr>
            <a:ln w="0">
              <a:solidFill>
                <a:srgbClr val="b3b3b3"/>
              </a:solidFill>
            </a:ln>
          </c:spPr>
        </c:majorGridlines>
        <c:numFmt formatCode="0"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59700943"/>
        <c:crosses val="autoZero"/>
        <c:crossBetween val="midCat"/>
      </c:valAx>
      <c:valAx>
        <c:axId val="78309442"/>
        <c:scaling>
          <c:orientation val="minMax"/>
        </c:scaling>
        <c:delete val="1"/>
        <c:axPos val="t"/>
        <c:numFmt formatCode="General" sourceLinked="1"/>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34523868"/>
        <c:crossBetween val="midCat"/>
        <c:majorUnit val="1"/>
      </c:valAx>
      <c:valAx>
        <c:axId val="34523868"/>
        <c:scaling>
          <c:orientation val="minMax"/>
        </c:scaling>
        <c:delete val="0"/>
        <c:axPos val="r"/>
        <c:numFmt formatCode="0.0%"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78309442"/>
        <c:crosses val="max"/>
        <c:crossBetween val="midCat"/>
      </c:valAx>
      <c:spPr>
        <a:noFill/>
        <a:ln w="0">
          <a:noFill/>
        </a:ln>
      </c:spPr>
    </c:plotArea>
    <c:legend>
      <c:legendPos val="b"/>
      <c:overlay val="0"/>
      <c:spPr>
        <a:noFill/>
        <a:ln w="0">
          <a:noFill/>
        </a:ln>
      </c:spPr>
      <c:txPr>
        <a:bodyPr/>
        <a:lstStyle/>
        <a:p>
          <a:pPr>
            <a:defRPr b="0" sz="1000" spc="-1" strike="noStrike">
              <a:solidFill>
                <a:srgbClr val="000000"/>
              </a:solidFill>
              <a:latin typeface="Calibri"/>
            </a:defRPr>
          </a:pPr>
        </a:p>
      </c:txPr>
    </c:legend>
    <c:plotVisOnly val="1"/>
    <c:dispBlanksAs val="gap"/>
  </c:chart>
  <c:spPr>
    <a:solidFill>
      <a:srgbClr val="ffffff"/>
    </a:solidFill>
    <a:ln w="9360">
      <a:solidFill>
        <a:srgbClr val="d9d9d9"/>
      </a:solidFill>
      <a:round/>
    </a:ln>
  </c:spPr>
</c:chartSpace>
</file>

<file path=xl/charts/chart38.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lang="en-US" sz="1200" spc="-1" strike="noStrike">
                <a:solidFill>
                  <a:srgbClr val="000000"/>
                </a:solidFill>
                <a:latin typeface="Calibri"/>
              </a:defRPr>
            </a:pPr>
            <a:r>
              <a:rPr b="1" lang="en-US" sz="1200" spc="-1" strike="noStrike">
                <a:solidFill>
                  <a:srgbClr val="000000"/>
                </a:solidFill>
                <a:latin typeface="Calibri"/>
              </a:rPr>
              <a:t>Supply Reduction and Forecast Revenue Recovery (2016-2030): Market-RevPAF Growth
Green Street, 51-market weighted average; dashed segment is the Green Street forecast (2026-2030).</a:t>
            </a:r>
          </a:p>
        </c:rich>
      </c:tx>
      <c:overlay val="0"/>
      <c:spPr>
        <a:noFill/>
        <a:ln w="0">
          <a:noFill/>
        </a:ln>
      </c:spPr>
    </c:title>
    <c:autoTitleDeleted val="0"/>
    <c:plotArea>
      <c:layout>
        <c:manualLayout>
          <c:layoutTarget val="inner"/>
          <c:xMode val="edge"/>
          <c:yMode val="edge"/>
          <c:x val="0.100106002385054"/>
          <c:y val="0.160271228232393"/>
          <c:w val="0.79902610308732"/>
          <c:h val="0.619355832948066"/>
        </c:manualLayout>
      </c:layout>
      <c:scatterChart>
        <c:scatterStyle val="lineMarker"/>
        <c:varyColors val="0"/>
        <c:ser>
          <c:idx val="0"/>
          <c:order val="0"/>
          <c:tx>
            <c:strRef>
              <c:f>"Market-RevPAF Growth, actual"</c:f>
              <c:strCache>
                <c:ptCount val="1"/>
                <c:pt idx="0">
                  <c:v>Market-RevPAF Growth, actual</c:v>
                </c:pt>
              </c:strCache>
            </c:strRef>
          </c:tx>
          <c:spPr>
            <a:solidFill>
              <a:srgbClr val="a31f34"/>
            </a:solidFill>
            <a:ln w="28440">
              <a:solidFill>
                <a:srgbClr val="a31f34"/>
              </a:solidFill>
              <a:round/>
            </a:ln>
          </c:spPr>
          <c:marker>
            <c:symbol val="circle"/>
            <c:size val="5"/>
            <c:spPr>
              <a:solidFill>
                <a:srgbClr val="a31f34"/>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0"/>
            <c:extLst>
              <c:ext xmlns:c15="http://schemas.microsoft.com/office/drawing/2012/chart" uri="{CE6537A1-D6FC-4f65-9D91-7224C49458BB}">
                <c15:showLeaderLines val="0"/>
              </c:ext>
            </c:extLst>
          </c:dLbls>
          <c:xVal>
            <c:numRef>
              <c:f>'Green Street National'!$A$4:$A$13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'Green Street National'!$C$4:$C$13</c:f>
              <c:numCache>
                <c:formatCode>0.00%</c:formatCode>
                <c:ptCount val="10"/>
                <c:pt idx="0">
                  <c:v>0.01895593</c:v>
                </c:pt>
                <c:pt idx="1">
                  <c:v>0.00975579</c:v>
                </c:pt>
                <c:pt idx="2">
                  <c:v>0.02229099</c:v>
                </c:pt>
                <c:pt idx="3">
                  <c:v>0.03556294</c:v>
                </c:pt>
                <c:pt idx="4">
                  <c:v>-0.07888407</c:v>
                </c:pt>
                <c:pt idx="5">
                  <c:v>-0.05368289</c:v>
                </c:pt>
                <c:pt idx="6">
                  <c:v>-0.03718453</c:v>
                </c:pt>
                <c:pt idx="7">
                  <c:v>-0.05284114</c:v>
                </c:pt>
                <c:pt idx="8">
                  <c:v>-0.01855455</c:v>
                </c:pt>
                <c:pt idx="9">
                  <c:v>0.00073864</c:v>
                </c:pt>
              </c:numCache>
            </c:numRef>
          </c:yVal>
          <c:smooth val="0"/>
        </c:ser>
        <c:ser>
          <c:idx val="1"/>
          <c:order val="1"/>
          <c:tx>
            <c:strRef>
              <c:f>"Market-RevPAF Growth, Green Street forecast"</c:f>
              <c:strCache>
                <c:ptCount val="1"/>
                <c:pt idx="0">
                  <c:v>Market-RevPAF Growth, Green Street forecast</c:v>
                </c:pt>
              </c:strCache>
            </c:strRef>
          </c:tx>
          <c:spPr>
            <a:solidFill>
              <a:srgbClr val="a31f34"/>
            </a:solidFill>
            <a:ln w="28440">
              <a:solidFill>
                <a:srgbClr val="a31f34"/>
              </a:solidFill>
              <a:prstDash val="dash"/>
              <a:round/>
            </a:ln>
          </c:spPr>
          <c:marker>
            <c:symbol val="circle"/>
            <c:size val="5"/>
            <c:spPr>
              <a:solidFill>
                <a:srgbClr val="a31f34"/>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0"/>
            <c:extLst>
              <c:ext xmlns:c15="http://schemas.microsoft.com/office/drawing/2012/chart" uri="{CE6537A1-D6FC-4f65-9D91-7224C49458BB}">
                <c15:showLeaderLines val="0"/>
              </c:ext>
            </c:extLst>
          </c:dLbls>
          <c:xVal>
            <c:numRef>
              <c:f>'Green Street National'!$A$13:$A$18</c:f>
              <c:numCache>
                <c:formatCode>General</c:formatCode>
                <c:ptCount val="6"/>
                <c:pt idx="0">
                  <c:v>2025</c:v>
                </c:pt>
                <c:pt idx="1">
                  <c:v>2026</c:v>
                </c:pt>
                <c:pt idx="2">
                  <c:v>2027</c:v>
                </c:pt>
                <c:pt idx="3">
                  <c:v>2028</c:v>
                </c:pt>
                <c:pt idx="4">
                  <c:v>2029</c:v>
                </c:pt>
                <c:pt idx="5">
                  <c:v>2030</c:v>
                </c:pt>
              </c:numCache>
            </c:numRef>
          </c:xVal>
          <c:yVal>
            <c:numRef>
              <c:f>'Green Street National'!$C$13:$C$18</c:f>
              <c:numCache>
                <c:formatCode>0.00%</c:formatCode>
                <c:ptCount val="6"/>
                <c:pt idx="0">
                  <c:v>0.00073864</c:v>
                </c:pt>
                <c:pt idx="1">
                  <c:v>0.02641028</c:v>
                </c:pt>
                <c:pt idx="2">
                  <c:v>0.03173914</c:v>
                </c:pt>
                <c:pt idx="3">
                  <c:v>0.02121428</c:v>
                </c:pt>
                <c:pt idx="4">
                  <c:v>0.02121284</c:v>
                </c:pt>
                <c:pt idx="5">
                  <c:v>0.02121141</c:v>
                </c:pt>
              </c:numCache>
            </c:numRef>
          </c:yVal>
          <c:smooth val="0"/>
        </c:ser>
        <c:axId val="35130685"/>
        <c:axId val="30775587"/>
      </c:scatterChart>
      <c:valAx>
        <c:axId val="35130685"/>
        <c:scaling>
          <c:orientation val="minMax"/>
        </c:scaling>
        <c:delete val="0"/>
        <c:axPos val="b"/>
        <c:numFmt formatCode="0" sourceLinked="0"/>
        <c:majorTickMark val="none"/>
        <c:minorTickMark val="none"/>
        <c:tickLblPos val="low"/>
        <c:spPr>
          <a:ln w="0">
            <a:solidFill>
              <a:srgbClr val="b3b3b3"/>
            </a:solidFill>
          </a:ln>
        </c:spPr>
        <c:txPr>
          <a:bodyPr/>
          <a:lstStyle/>
          <a:p>
            <a:pPr>
              <a:defRPr b="0" sz="1000" spc="-1" strike="noStrike">
                <a:solidFill>
                  <a:srgbClr val="000000"/>
                </a:solidFill>
                <a:latin typeface="Calibri"/>
              </a:defRPr>
            </a:pPr>
          </a:p>
        </c:txPr>
        <c:crossAx val="30775587"/>
        <c:crosses val="autoZero"/>
        <c:crossBetween val="midCat"/>
        <c:majorUnit val="1"/>
      </c:valAx>
      <c:valAx>
        <c:axId val="30775587"/>
        <c:scaling>
          <c:orientation val="minMax"/>
        </c:scaling>
        <c:delete val="0"/>
        <c:axPos val="l"/>
        <c:majorGridlines>
          <c:spPr>
            <a:ln w="0">
              <a:solidFill>
                <a:srgbClr val="b3b3b3"/>
              </a:solidFill>
            </a:ln>
          </c:spPr>
        </c:majorGridlines>
        <c:numFmt formatCode="0%"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35130685"/>
        <c:crosses val="autoZero"/>
        <c:crossBetween val="midCat"/>
      </c:valAx>
      <c:spPr>
        <a:noFill/>
        <a:ln w="0">
          <a:noFill/>
        </a:ln>
      </c:spPr>
    </c:plotArea>
    <c:legend>
      <c:legendPos val="b"/>
      <c:overlay val="0"/>
      <c:spPr>
        <a:noFill/>
        <a:ln w="0">
          <a:noFill/>
        </a:ln>
      </c:spPr>
      <c:txPr>
        <a:bodyPr/>
        <a:lstStyle/>
        <a:p>
          <a:pPr>
            <a:defRPr b="0" sz="1000" spc="-1" strike="noStrike">
              <a:solidFill>
                <a:srgbClr val="000000"/>
              </a:solidFill>
              <a:latin typeface="Calibri"/>
            </a:defRPr>
          </a:pPr>
        </a:p>
      </c:txPr>
    </c:legend>
    <c:plotVisOnly val="1"/>
    <c:dispBlanksAs val="gap"/>
  </c:chart>
  <c:spPr>
    <a:solidFill>
      <a:srgbClr val="ffffff"/>
    </a:solidFill>
    <a:ln w="9360">
      <a:solidFill>
        <a:srgbClr val="d9d9d9"/>
      </a:solidFill>
      <a:round/>
    </a:ln>
  </c:spPr>
</c:chartSpace>
</file>

<file path=xl/charts/chart39.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lang="en-US" sz="1200" spc="-1" strike="noStrike">
                <a:solidFill>
                  <a:srgbClr val="000000"/>
                </a:solidFill>
                <a:latin typeface="Calibri"/>
              </a:defRPr>
            </a:pPr>
            <a:r>
              <a:rPr b="1" lang="en-US" sz="1200" spc="-1" strike="noStrike">
                <a:solidFill>
                  <a:srgbClr val="000000"/>
                </a:solidFill>
                <a:latin typeface="Calibri"/>
              </a:rPr>
              <a:t>Supply Reduction and Forecast Revenue Recovery (2016-2030): Supply Growth (% of Stock)
Green Street, 51-market weighted average; lighter bars are the Green Street forecast (2026-2030).</a:t>
            </a:r>
          </a:p>
        </c:rich>
      </c:tx>
      <c:overlay val="0"/>
      <c:spPr>
        <a:noFill/>
        <a:ln w="0">
          <a:noFill/>
        </a:ln>
      </c:spPr>
    </c:title>
    <c:autoTitleDeleted val="0"/>
    <c:plotArea>
      <c:layout>
        <c:manualLayout>
          <c:layoutTarget val="inner"/>
          <c:xMode val="edge"/>
          <c:yMode val="edge"/>
          <c:x val="0.100106002385054"/>
          <c:y val="0.160271228232393"/>
          <c:w val="0.79902610308732"/>
          <c:h val="0.619355832948066"/>
        </c:manualLayout>
      </c:layout>
      <c:barChart>
        <c:barDir val="col"/>
        <c:grouping val="stacked"/>
        <c:varyColors val="0"/>
        <c:ser>
          <c:idx val="0"/>
          <c:order val="0"/>
          <c:tx>
            <c:strRef>
              <c:f>"Supply Growth, actual"</c:f>
              <c:strCache>
                <c:ptCount val="1"/>
                <c:pt idx="0">
                  <c:v>Supply Growth, actual</c:v>
                </c:pt>
              </c:strCache>
            </c:strRef>
          </c:tx>
          <c:spPr>
            <a:solidFill>
              <a:srgbClr val="1f3b57"/>
            </a:solidFill>
            <a:ln w="0">
              <a:noFill/>
            </a:ln>
          </c:spPr>
          <c:invertIfNegative val="0"/>
          <c:dLbls>
            <c:txPr>
              <a:bodyPr wrap="square"/>
              <a:lstStyle/>
              <a:p>
                <a:pPr>
                  <a:defRPr b="0" sz="1000" spc="-1" strike="noStrike">
                    <a:solidFill>
                      <a:srgbClr val="000000"/>
                    </a:solidFill>
                    <a:latin typeface="Calibri"/>
                  </a:defRPr>
                </a:pPr>
              </a:p>
            </c:txPr>
            <c:dLblPos val="ctr"/>
            <c:showLegendKey val="0"/>
            <c:showVal val="0"/>
            <c:showCatName val="0"/>
            <c:showSerName val="0"/>
            <c:showPercent val="0"/>
            <c:separator>; </c:separator>
            <c:showLeaderLines val="0"/>
            <c:extLst>
              <c:ext xmlns:c15="http://schemas.microsoft.com/office/drawing/2012/chart" uri="{CE6537A1-D6FC-4f65-9D91-7224C49458BB}">
                <c15:showLeaderLines val="0"/>
              </c:ext>
            </c:extLst>
          </c:dLbls>
          <c:cat>
            <c:strRef>
              <c:f>'Green Street National'!$A$4:$A$18</c:f>
              <c:strCache>
                <c:ptCount val="15"/>
                <c:pt idx="0">
                  <c:v>2016</c:v>
                </c:pt>
                <c:pt idx="1">
                  <c:v>2017</c:v>
                </c:pt>
                <c:pt idx="2">
                  <c:v>2018</c:v>
                </c:pt>
                <c:pt idx="3">
                  <c:v>2019</c:v>
                </c:pt>
                <c:pt idx="4">
                  <c:v>2020</c:v>
                </c:pt>
                <c:pt idx="5">
                  <c:v>2021</c:v>
                </c:pt>
                <c:pt idx="6">
                  <c:v>2022</c:v>
                </c:pt>
                <c:pt idx="7">
                  <c:v>2023</c:v>
                </c:pt>
                <c:pt idx="8">
                  <c:v>2024</c:v>
                </c:pt>
                <c:pt idx="9">
                  <c:v>2025</c:v>
                </c:pt>
                <c:pt idx="10">
                  <c:v>2026</c:v>
                </c:pt>
                <c:pt idx="11">
                  <c:v>2027</c:v>
                </c:pt>
                <c:pt idx="12">
                  <c:v>2028</c:v>
                </c:pt>
                <c:pt idx="13">
                  <c:v>2029</c:v>
                </c:pt>
                <c:pt idx="14">
                  <c:v>2030</c:v>
                </c:pt>
              </c:strCache>
            </c:strRef>
          </c:cat>
          <c:val>
            <c:numRef>
              <c:f>'Green Street National'!$H$4:$H$18</c:f>
              <c:numCache>
                <c:formatCode>0.00%</c:formatCode>
                <c:ptCount val="15"/>
                <c:pt idx="0">
                  <c:v>0.01185798</c:v>
                </c:pt>
                <c:pt idx="1">
                  <c:v>0.0145198</c:v>
                </c:pt>
                <c:pt idx="2">
                  <c:v>0.01405258</c:v>
                </c:pt>
                <c:pt idx="3">
                  <c:v>0.01295095</c:v>
                </c:pt>
                <c:pt idx="4">
                  <c:v>0.01580595</c:v>
                </c:pt>
                <c:pt idx="5">
                  <c:v>0.01304371</c:v>
                </c:pt>
                <c:pt idx="6">
                  <c:v>0.00965422</c:v>
                </c:pt>
                <c:pt idx="7">
                  <c:v>0.00850896</c:v>
                </c:pt>
                <c:pt idx="8">
                  <c:v>0.00796357</c:v>
                </c:pt>
                <c:pt idx="9">
                  <c:v>0.004443</c:v>
                </c:pt>
              </c:numCache>
            </c:numRef>
          </c:val>
        </c:ser>
        <c:ser>
          <c:idx val="1"/>
          <c:order val="1"/>
          <c:tx>
            <c:strRef>
              <c:f>"Supply Growth, Green Street forecast"</c:f>
              <c:strCache>
                <c:ptCount val="1"/>
                <c:pt idx="0">
                  <c:v>Supply Growth, Green Street forecast</c:v>
                </c:pt>
              </c:strCache>
            </c:strRef>
          </c:tx>
          <c:spPr>
            <a:solidFill>
              <a:srgbClr val="a9bcd1"/>
            </a:solidFill>
            <a:ln w="0">
              <a:noFill/>
            </a:ln>
          </c:spPr>
          <c:invertIfNegative val="0"/>
          <c:dLbls>
            <c:txPr>
              <a:bodyPr wrap="square"/>
              <a:lstStyle/>
              <a:p>
                <a:pPr>
                  <a:defRPr b="0" sz="1000" spc="-1" strike="noStrike">
                    <a:solidFill>
                      <a:srgbClr val="000000"/>
                    </a:solidFill>
                    <a:latin typeface="Calibri"/>
                  </a:defRPr>
                </a:pPr>
              </a:p>
            </c:txPr>
            <c:dLblPos val="ctr"/>
            <c:showLegendKey val="0"/>
            <c:showVal val="0"/>
            <c:showCatName val="0"/>
            <c:showSerName val="0"/>
            <c:showPercent val="0"/>
            <c:separator>; </c:separator>
            <c:showLeaderLines val="0"/>
            <c:extLst>
              <c:ext xmlns:c15="http://schemas.microsoft.com/office/drawing/2012/chart" uri="{CE6537A1-D6FC-4f65-9D91-7224C49458BB}">
                <c15:showLeaderLines val="0"/>
              </c:ext>
            </c:extLst>
          </c:dLbls>
          <c:cat>
            <c:strRef>
              <c:f>'Green Street National'!$A$4:$A$18</c:f>
              <c:strCache>
                <c:ptCount val="15"/>
                <c:pt idx="0">
                  <c:v>2016</c:v>
                </c:pt>
                <c:pt idx="1">
                  <c:v>2017</c:v>
                </c:pt>
                <c:pt idx="2">
                  <c:v>2018</c:v>
                </c:pt>
                <c:pt idx="3">
                  <c:v>2019</c:v>
                </c:pt>
                <c:pt idx="4">
                  <c:v>2020</c:v>
                </c:pt>
                <c:pt idx="5">
                  <c:v>2021</c:v>
                </c:pt>
                <c:pt idx="6">
                  <c:v>2022</c:v>
                </c:pt>
                <c:pt idx="7">
                  <c:v>2023</c:v>
                </c:pt>
                <c:pt idx="8">
                  <c:v>2024</c:v>
                </c:pt>
                <c:pt idx="9">
                  <c:v>2025</c:v>
                </c:pt>
                <c:pt idx="10">
                  <c:v>2026</c:v>
                </c:pt>
                <c:pt idx="11">
                  <c:v>2027</c:v>
                </c:pt>
                <c:pt idx="12">
                  <c:v>2028</c:v>
                </c:pt>
                <c:pt idx="13">
                  <c:v>2029</c:v>
                </c:pt>
                <c:pt idx="14">
                  <c:v>2030</c:v>
                </c:pt>
              </c:strCache>
            </c:strRef>
          </c:cat>
          <c:val>
            <c:numRef>
              <c:f>'Green Street National'!$I$4:$I$18</c:f>
              <c:numCache>
                <c:formatCode>0.00%</c:formatCode>
                <c:ptCount val="15"/>
                <c:pt idx="10">
                  <c:v>0.00381869</c:v>
                </c:pt>
                <c:pt idx="11">
                  <c:v>0.00381869</c:v>
                </c:pt>
                <c:pt idx="12">
                  <c:v>0.00381869</c:v>
                </c:pt>
                <c:pt idx="13">
                  <c:v>0.00381869</c:v>
                </c:pt>
                <c:pt idx="14">
                  <c:v>0.00381869</c:v>
                </c:pt>
              </c:numCache>
            </c:numRef>
          </c:val>
        </c:ser>
        <c:gapWidth val="150"/>
        <c:overlap val="100"/>
        <c:axId val="33114251"/>
        <c:axId val="24862249"/>
      </c:barChart>
      <c:catAx>
        <c:axId val="33114251"/>
        <c:scaling>
          <c:orientation val="minMax"/>
        </c:scaling>
        <c:delete val="0"/>
        <c:axPos val="b"/>
        <c:numFmt formatCode="General" sourceLinked="0"/>
        <c:majorTickMark val="none"/>
        <c:minorTickMark val="none"/>
        <c:tickLblPos val="low"/>
        <c:spPr>
          <a:ln w="0">
            <a:solidFill>
              <a:srgbClr val="b3b3b3"/>
            </a:solidFill>
          </a:ln>
        </c:spPr>
        <c:txPr>
          <a:bodyPr/>
          <a:lstStyle/>
          <a:p>
            <a:pPr>
              <a:defRPr b="0" sz="1000" spc="-1" strike="noStrike">
                <a:solidFill>
                  <a:srgbClr val="000000"/>
                </a:solidFill>
                <a:latin typeface="Calibri"/>
              </a:defRPr>
            </a:pPr>
          </a:p>
        </c:txPr>
        <c:crossAx val="24862249"/>
        <c:crosses val="autoZero"/>
        <c:auto val="1"/>
        <c:lblAlgn val="ctr"/>
        <c:lblOffset val="100"/>
        <c:noMultiLvlLbl val="0"/>
      </c:catAx>
      <c:valAx>
        <c:axId val="24862249"/>
        <c:scaling>
          <c:orientation val="minMax"/>
        </c:scaling>
        <c:delete val="0"/>
        <c:axPos val="l"/>
        <c:majorGridlines>
          <c:spPr>
            <a:ln w="0">
              <a:solidFill>
                <a:srgbClr val="b3b3b3"/>
              </a:solidFill>
            </a:ln>
          </c:spPr>
        </c:majorGridlines>
        <c:numFmt formatCode="0.0%"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33114251"/>
        <c:crosses val="autoZero"/>
        <c:crossBetween val="between"/>
      </c:valAx>
      <c:spPr>
        <a:noFill/>
        <a:ln w="0">
          <a:noFill/>
        </a:ln>
      </c:spPr>
    </c:plotArea>
    <c:legend>
      <c:legendPos val="b"/>
      <c:overlay val="0"/>
      <c:spPr>
        <a:noFill/>
        <a:ln w="0">
          <a:noFill/>
        </a:ln>
      </c:spPr>
      <c:txPr>
        <a:bodyPr/>
        <a:lstStyle/>
        <a:p>
          <a:pPr>
            <a:defRPr b="0" sz="1000" spc="-1" strike="noStrike">
              <a:solidFill>
                <a:srgbClr val="000000"/>
              </a:solidFill>
              <a:latin typeface="Calibri"/>
            </a:defRPr>
          </a:pPr>
        </a:p>
      </c:txPr>
    </c:legend>
    <c:plotVisOnly val="1"/>
    <c:dispBlanksAs val="gap"/>
  </c:chart>
  <c:spPr>
    <a:solidFill>
      <a:srgbClr val="ffffff"/>
    </a:solidFill>
    <a:ln w="9360">
      <a:solidFill>
        <a:srgbClr val="d9d9d9"/>
      </a:solidFill>
      <a:round/>
    </a:ln>
  </c:spPr>
</c:chartSpace>
</file>

<file path=xl/charts/chart4.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lang="en-US" sz="1800" spc="-1" strike="noStrike">
                <a:solidFill>
                  <a:srgbClr val="000000"/>
                </a:solidFill>
                <a:latin typeface="Calibri"/>
              </a:defRPr>
            </a:pPr>
            <a:r>
              <a:rPr b="1" lang="en-US" sz="1800" spc="-1" strike="noStrike">
                <a:solidFill>
                  <a:srgbClr val="000000"/>
                </a:solidFill>
                <a:latin typeface="Calibri"/>
              </a:rPr>
              <a:t>BXP Stabilized Implied Cap Rate vs. 10-Yr UST, with Spread (2016-2025)</a:t>
            </a:r>
          </a:p>
        </c:rich>
      </c:tx>
      <c:overlay val="0"/>
      <c:spPr>
        <a:noFill/>
        <a:ln w="0">
          <a:noFill/>
        </a:ln>
      </c:spPr>
    </c:title>
    <c:autoTitleDeleted val="0"/>
    <c:plotArea>
      <c:layout>
        <c:manualLayout>
          <c:layoutTarget val="inner"/>
          <c:xMode val="edge"/>
          <c:yMode val="edge"/>
          <c:x val="0.100072876639724"/>
          <c:y val="0.140237324703344"/>
          <c:w val="0.799092354577978"/>
          <c:h val="0.679457543535214"/>
        </c:manualLayout>
      </c:layout>
      <c:barChart>
        <c:barDir val="col"/>
        <c:grouping val="clustered"/>
        <c:varyColors val="0"/>
        <c:ser>
          <c:idx val="0"/>
          <c:order val="0"/>
          <c:tx>
            <c:strRef>
              <c:f>'BXP vs Market'!$D$3</c:f>
              <c:strCache>
                <c:ptCount val="1"/>
                <c:pt idx="0">
                  <c:v>Spread: Cap Rate less UST (pp)</c:v>
                </c:pt>
              </c:strCache>
            </c:strRef>
          </c:tx>
          <c:spPr>
            <a:solidFill>
              <a:srgbClr val="d9a0a8"/>
            </a:solidFill>
            <a:ln w="0">
              <a:solidFill>
                <a:srgbClr val="b87b85"/>
              </a:solidFill>
            </a:ln>
          </c:spPr>
          <c:invertIfNegative val="0"/>
          <c:dLbls>
            <c:txPr>
              <a:bodyPr wrap="square"/>
              <a:lstStyle/>
              <a:p>
                <a:pPr>
                  <a:defRPr b="0" sz="1000" spc="-1" strike="noStrike">
                    <a:solidFill>
                      <a:srgbClr val="000000"/>
                    </a:solidFill>
                    <a:latin typeface="Calibri"/>
                  </a:defRPr>
                </a:pPr>
              </a:p>
            </c:txPr>
            <c:dLblPos val="outEnd"/>
            <c:showLegendKey val="0"/>
            <c:showVal val="0"/>
            <c:showCatName val="0"/>
            <c:showSerName val="0"/>
            <c:showPercent val="0"/>
            <c:separator>; </c:separator>
            <c:showLeaderLines val="0"/>
            <c:extLst>
              <c:ext xmlns:c15="http://schemas.microsoft.com/office/drawing/2012/chart" uri="{CE6537A1-D6FC-4f65-9D91-7224C49458BB}">
                <c15:showLeaderLines val="0"/>
              </c:ext>
            </c:extLst>
          </c:dLbls>
          <c:cat>
            <c:strRef>
              <c:f>'BXP vs Market'!$A$4:$A$13</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f>'BXP vs Market'!$D$4:$D$13</c:f>
              <c:numCache>
                <c:formatCode>0.00%</c:formatCode>
                <c:ptCount val="10"/>
                <c:pt idx="0">
                  <c:v>0.0257764275314892</c:v>
                </c:pt>
                <c:pt idx="1">
                  <c:v>0.0246146481215885</c:v>
                </c:pt>
                <c:pt idx="2">
                  <c:v>0.0257064414166118</c:v>
                </c:pt>
                <c:pt idx="3">
                  <c:v>0.0311492276370892</c:v>
                </c:pt>
                <c:pt idx="4">
                  <c:v>0.0482633273487352</c:v>
                </c:pt>
                <c:pt idx="5">
                  <c:v>0.0397651884353238</c:v>
                </c:pt>
                <c:pt idx="6">
                  <c:v>0.0360174327247469</c:v>
                </c:pt>
                <c:pt idx="7">
                  <c:v>0.0340110342805111</c:v>
                </c:pt>
                <c:pt idx="8">
                  <c:v>0.0253935318586347</c:v>
                </c:pt>
                <c:pt idx="9">
                  <c:v>0.0330682826340019</c:v>
                </c:pt>
              </c:numCache>
            </c:numRef>
          </c:val>
        </c:ser>
        <c:gapWidth val="80"/>
        <c:overlap val="0"/>
        <c:axId val="39907979"/>
        <c:axId val="96888003"/>
      </c:barChart>
      <c:lineChart>
        <c:grouping val="standard"/>
        <c:varyColors val="0"/>
        <c:ser>
          <c:idx val="1"/>
          <c:order val="1"/>
          <c:tx>
            <c:strRef>
              <c:f>'BXP vs Market'!$B$3</c:f>
              <c:strCache>
                <c:ptCount val="1"/>
                <c:pt idx="0">
                  <c:v>BXP Stabilized Implied Cap Rate (%)</c:v>
                </c:pt>
              </c:strCache>
            </c:strRef>
          </c:tx>
          <c:spPr>
            <a:solidFill>
              <a:srgbClr val="a31f34"/>
            </a:solidFill>
            <a:ln w="28080">
              <a:solidFill>
                <a:srgbClr val="a31f34"/>
              </a:solidFill>
              <a:round/>
            </a:ln>
          </c:spPr>
          <c:marker>
            <c:symbol val="circle"/>
            <c:size val="6"/>
            <c:spPr>
              <a:solidFill>
                <a:srgbClr val="a31f34"/>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0"/>
            <c:extLst>
              <c:ext xmlns:c15="http://schemas.microsoft.com/office/drawing/2012/chart" uri="{CE6537A1-D6FC-4f65-9D91-7224C49458BB}">
                <c15:showLeaderLines val="0"/>
              </c:ext>
            </c:extLst>
          </c:dLbls>
          <c:cat>
            <c:strRef>
              <c:f>'BXP vs Market'!$A$4:$A$13</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f>'BXP vs Market'!$B$4:$B$13</c:f>
              <c:numCache>
                <c:formatCode>0.00%</c:formatCode>
                <c:ptCount val="10"/>
                <c:pt idx="0">
                  <c:v>0.0502764275314892</c:v>
                </c:pt>
                <c:pt idx="1">
                  <c:v>0.0486146481215886</c:v>
                </c:pt>
                <c:pt idx="2">
                  <c:v>0.0526064414166118</c:v>
                </c:pt>
                <c:pt idx="3">
                  <c:v>0.0503492276370892</c:v>
                </c:pt>
                <c:pt idx="4">
                  <c:v>0.0575633273487352</c:v>
                </c:pt>
                <c:pt idx="5">
                  <c:v>0.0549651884353238</c:v>
                </c:pt>
                <c:pt idx="6">
                  <c:v>0.0748174327247469</c:v>
                </c:pt>
                <c:pt idx="7">
                  <c:v>0.0728110342805111</c:v>
                </c:pt>
                <c:pt idx="8">
                  <c:v>0.0711935318586347</c:v>
                </c:pt>
                <c:pt idx="9">
                  <c:v>0.0748682826340019</c:v>
                </c:pt>
              </c:numCache>
            </c:numRef>
          </c:val>
          <c:smooth val="0"/>
        </c:ser>
        <c:ser>
          <c:idx val="2"/>
          <c:order val="2"/>
          <c:tx>
            <c:strRef>
              <c:f>'BXP vs Market'!$C$3</c:f>
              <c:strCache>
                <c:ptCount val="1"/>
                <c:pt idx="0">
                  <c:v>10-Yr UST Yield (%)</c:v>
                </c:pt>
              </c:strCache>
            </c:strRef>
          </c:tx>
          <c:spPr>
            <a:solidFill>
              <a:srgbClr val="3a3a3a"/>
            </a:solidFill>
            <a:ln w="28080">
              <a:solidFill>
                <a:srgbClr val="3a3a3a"/>
              </a:solidFill>
              <a:round/>
            </a:ln>
          </c:spPr>
          <c:marker>
            <c:symbol val="circle"/>
            <c:size val="6"/>
            <c:spPr>
              <a:solidFill>
                <a:srgbClr val="3a3a3a"/>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0"/>
            <c:extLst>
              <c:ext xmlns:c15="http://schemas.microsoft.com/office/drawing/2012/chart" uri="{CE6537A1-D6FC-4f65-9D91-7224C49458BB}">
                <c15:showLeaderLines val="0"/>
              </c:ext>
            </c:extLst>
          </c:dLbls>
          <c:cat>
            <c:strRef>
              <c:f>'BXP vs Market'!$A$4:$A$13</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f>'BXP vs Market'!$C$4:$C$13</c:f>
              <c:numCache>
                <c:formatCode>0.00%</c:formatCode>
                <c:ptCount val="10"/>
                <c:pt idx="0">
                  <c:v>0.0245</c:v>
                </c:pt>
                <c:pt idx="1">
                  <c:v>0.024</c:v>
                </c:pt>
                <c:pt idx="2">
                  <c:v>0.0269</c:v>
                </c:pt>
                <c:pt idx="3">
                  <c:v>0.0192</c:v>
                </c:pt>
                <c:pt idx="4">
                  <c:v>0.0093</c:v>
                </c:pt>
                <c:pt idx="5">
                  <c:v>0.0152</c:v>
                </c:pt>
                <c:pt idx="6">
                  <c:v>0.0388</c:v>
                </c:pt>
                <c:pt idx="7">
                  <c:v>0.0388</c:v>
                </c:pt>
                <c:pt idx="8">
                  <c:v>0.0458</c:v>
                </c:pt>
                <c:pt idx="9">
                  <c:v>0.0418</c:v>
                </c:pt>
              </c:numCache>
            </c:numRef>
          </c:val>
          <c:smooth val="0"/>
        </c:ser>
        <c:hiLowLines>
          <c:spPr>
            <a:ln w="0">
              <a:noFill/>
            </a:ln>
          </c:spPr>
        </c:hiLowLines>
        <c:marker val="1"/>
        <c:axId val="51993075"/>
        <c:axId val="77754211"/>
      </c:lineChart>
      <c:catAx>
        <c:axId val="39907979"/>
        <c:scaling>
          <c:orientation val="minMax"/>
        </c:scaling>
        <c:delete val="0"/>
        <c:axPos val="b"/>
        <c:numFmt formatCode="General" sourceLinked="0"/>
        <c:majorTickMark val="none"/>
        <c:minorTickMark val="none"/>
        <c:tickLblPos val="low"/>
        <c:spPr>
          <a:ln w="0">
            <a:solidFill>
              <a:srgbClr val="b3b3b3"/>
            </a:solidFill>
          </a:ln>
        </c:spPr>
        <c:txPr>
          <a:bodyPr/>
          <a:lstStyle/>
          <a:p>
            <a:pPr>
              <a:defRPr b="0" sz="1000" spc="-1" strike="noStrike">
                <a:solidFill>
                  <a:srgbClr val="000000"/>
                </a:solidFill>
                <a:latin typeface="Calibri"/>
              </a:defRPr>
            </a:pPr>
          </a:p>
        </c:txPr>
        <c:crossAx val="96888003"/>
        <c:crosses val="autoZero"/>
        <c:auto val="1"/>
        <c:lblAlgn val="ctr"/>
        <c:lblOffset val="100"/>
        <c:noMultiLvlLbl val="0"/>
      </c:catAx>
      <c:valAx>
        <c:axId val="96888003"/>
        <c:scaling>
          <c:orientation val="minMax"/>
        </c:scaling>
        <c:delete val="0"/>
        <c:axPos val="l"/>
        <c:majorGridlines>
          <c:spPr>
            <a:ln w="0">
              <a:solidFill>
                <a:srgbClr val="b3b3b3"/>
              </a:solidFill>
            </a:ln>
          </c:spPr>
        </c:majorGridlines>
        <c:title>
          <c:tx>
            <c:rich>
              <a:bodyPr rot="-5400000"/>
              <a:lstStyle/>
              <a:p>
                <a:pPr>
                  <a:defRPr b="1" lang="en-US" sz="1000" spc="-1" strike="noStrike">
                    <a:solidFill>
                      <a:srgbClr val="000000"/>
                    </a:solidFill>
                    <a:latin typeface="Calibri"/>
                  </a:defRPr>
                </a:pPr>
                <a:r>
                  <a:rPr b="1" lang="en-US" sz="1000" spc="-1" strike="noStrike">
                    <a:solidFill>
                      <a:srgbClr val="000000"/>
                    </a:solidFill>
                    <a:latin typeface="Calibri"/>
                  </a:rPr>
                  <a:t>Spread (pct pts)</a:t>
                </a:r>
              </a:p>
            </c:rich>
          </c:tx>
          <c:overlay val="0"/>
          <c:spPr>
            <a:noFill/>
            <a:ln w="0">
              <a:noFill/>
            </a:ln>
          </c:spPr>
        </c:title>
        <c:numFmt formatCode="0.0%"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39907979"/>
        <c:crosses val="autoZero"/>
        <c:crossBetween val="between"/>
      </c:valAx>
      <c:catAx>
        <c:axId val="51993075"/>
        <c:scaling>
          <c:orientation val="minMax"/>
        </c:scaling>
        <c:delete val="1"/>
        <c:axPos val="t"/>
        <c:numFmt formatCode="General" sourceLinked="1"/>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77754211"/>
        <c:auto val="1"/>
        <c:lblAlgn val="ctr"/>
        <c:lblOffset val="100"/>
        <c:noMultiLvlLbl val="0"/>
      </c:catAx>
      <c:valAx>
        <c:axId val="77754211"/>
        <c:scaling>
          <c:orientation val="minMax"/>
        </c:scaling>
        <c:delete val="0"/>
        <c:axPos val="r"/>
        <c:title>
          <c:tx>
            <c:rich>
              <a:bodyPr rot="-5400000"/>
              <a:lstStyle/>
              <a:p>
                <a:pPr>
                  <a:defRPr b="1" lang="en-US" sz="1000" spc="-1" strike="noStrike">
                    <a:solidFill>
                      <a:srgbClr val="000000"/>
                    </a:solidFill>
                    <a:latin typeface="Calibri"/>
                  </a:defRPr>
                </a:pPr>
                <a:r>
                  <a:rPr b="1" lang="en-US" sz="1000" spc="-1" strike="noStrike">
                    <a:solidFill>
                      <a:srgbClr val="000000"/>
                    </a:solidFill>
                    <a:latin typeface="Calibri"/>
                  </a:rPr>
                  <a:t>Yield (%)</a:t>
                </a:r>
              </a:p>
            </c:rich>
          </c:tx>
          <c:overlay val="0"/>
          <c:spPr>
            <a:noFill/>
            <a:ln w="0">
              <a:noFill/>
            </a:ln>
          </c:spPr>
        </c:title>
        <c:numFmt formatCode="0.0%"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51993075"/>
        <c:crosses val="max"/>
        <c:crossBetween val="between"/>
      </c:valAx>
      <c:spPr>
        <a:noFill/>
        <a:ln w="0">
          <a:noFill/>
        </a:ln>
      </c:spPr>
    </c:plotArea>
    <c:legend>
      <c:legendPos val="b"/>
      <c:overlay val="0"/>
      <c:spPr>
        <a:noFill/>
        <a:ln w="0">
          <a:noFill/>
        </a:ln>
      </c:spPr>
      <c:txPr>
        <a:bodyPr/>
        <a:lstStyle/>
        <a:p>
          <a:pPr>
            <a:defRPr b="0" sz="1000" spc="-1" strike="noStrike">
              <a:solidFill>
                <a:srgbClr val="000000"/>
              </a:solidFill>
              <a:latin typeface="Calibri"/>
            </a:defRPr>
          </a:pPr>
        </a:p>
      </c:txPr>
    </c:legend>
    <c:plotVisOnly val="1"/>
    <c:dispBlanksAs val="gap"/>
  </c:chart>
  <c:spPr>
    <a:solidFill>
      <a:srgbClr val="ffffff"/>
    </a:solidFill>
    <a:ln w="9360">
      <a:solidFill>
        <a:srgbClr val="d9d9d9"/>
      </a:solidFill>
      <a:round/>
    </a:ln>
  </c:spPr>
</c:chartSpace>
</file>

<file path=xl/charts/chart40.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lang="en-US" sz="1200" spc="-1" strike="noStrike">
                <a:solidFill>
                  <a:srgbClr val="000000"/>
                </a:solidFill>
                <a:latin typeface="Calibri"/>
              </a:defRPr>
            </a:pPr>
            <a:r>
              <a:rPr b="1" lang="en-US" sz="1200" spc="-1" strike="noStrike">
                <a:solidFill>
                  <a:srgbClr val="000000"/>
                </a:solidFill>
                <a:latin typeface="Calibri"/>
              </a:rPr>
              <a:t>Operating Fundamentals: CoStar Market Asking Rent ($/SF) (2016-2025)</a:t>
            </a:r>
          </a:p>
        </c:rich>
      </c:tx>
      <c:overlay val="0"/>
      <c:spPr>
        <a:noFill/>
        <a:ln w="0">
          <a:noFill/>
        </a:ln>
      </c:spPr>
    </c:title>
    <c:autoTitleDeleted val="0"/>
    <c:plotArea>
      <c:layout>
        <c:manualLayout>
          <c:layoutTarget val="inner"/>
          <c:xMode val="edge"/>
          <c:yMode val="edge"/>
          <c:x val="0.100039750894395"/>
          <c:y val="0.160271228232393"/>
          <c:w val="0.799059228832649"/>
          <c:h val="0.619355832948066"/>
        </c:manualLayout>
      </c:layout>
      <c:scatterChart>
        <c:scatterStyle val="lineMarker"/>
        <c:varyColors val="0"/>
        <c:ser>
          <c:idx val="0"/>
          <c:order val="0"/>
          <c:tx>
            <c:strRef>
              <c:f>"CoStar Market Asking Rent ($/SF)"</c:f>
              <c:strCache>
                <c:ptCount val="1"/>
                <c:pt idx="0">
                  <c:v>CoStar Market Asking Rent ($/SF)</c:v>
                </c:pt>
              </c:strCache>
            </c:strRef>
          </c:tx>
          <c:spPr>
            <a:solidFill>
              <a:srgbClr val="1f3b57"/>
            </a:solidFill>
            <a:ln w="28440">
              <a:solidFill>
                <a:srgbClr val="1f3b57"/>
              </a:solidFill>
              <a:round/>
            </a:ln>
          </c:spPr>
          <c:marker>
            <c:symbol val="circle"/>
            <c:size val="5"/>
            <c:spPr>
              <a:solidFill>
                <a:srgbClr val="1f3b57"/>
              </a:solidFill>
            </c:spPr>
          </c:marker>
          <c:dPt>
            <c:idx val="0"/>
            <c:marker>
              <c:symbol val="circle"/>
              <c:size val="5"/>
              <c:spPr>
                <a:solidFill>
                  <a:srgbClr val="1f3b57"/>
                </a:solidFill>
              </c:spPr>
            </c:marker>
          </c:dPt>
          <c:dPt>
            <c:idx val="1"/>
            <c:marker>
              <c:symbol val="circle"/>
              <c:size val="5"/>
              <c:spPr>
                <a:solidFill>
                  <a:srgbClr val="1f3b57"/>
                </a:solidFill>
              </c:spPr>
            </c:marker>
          </c:dPt>
          <c:dPt>
            <c:idx val="2"/>
            <c:marker>
              <c:symbol val="circle"/>
              <c:size val="5"/>
              <c:spPr>
                <a:solidFill>
                  <a:srgbClr val="1f3b57"/>
                </a:solidFill>
              </c:spPr>
            </c:marker>
          </c:dPt>
          <c:dPt>
            <c:idx val="3"/>
            <c:marker>
              <c:symbol val="circle"/>
              <c:size val="5"/>
              <c:spPr>
                <a:solidFill>
                  <a:srgbClr val="1f3b57"/>
                </a:solidFill>
              </c:spPr>
            </c:marker>
          </c:dPt>
          <c:dPt>
            <c:idx val="4"/>
            <c:marker>
              <c:symbol val="circle"/>
              <c:size val="5"/>
              <c:spPr>
                <a:solidFill>
                  <a:srgbClr val="1f3b57"/>
                </a:solidFill>
              </c:spPr>
            </c:marker>
          </c:dPt>
          <c:dPt>
            <c:idx val="5"/>
            <c:marker>
              <c:symbol val="circle"/>
              <c:size val="5"/>
              <c:spPr>
                <a:solidFill>
                  <a:srgbClr val="1f3b57"/>
                </a:solidFill>
              </c:spPr>
            </c:marker>
          </c:dPt>
          <c:dPt>
            <c:idx val="6"/>
            <c:marker>
              <c:symbol val="circle"/>
              <c:size val="5"/>
              <c:spPr>
                <a:solidFill>
                  <a:srgbClr val="1f3b57"/>
                </a:solidFill>
              </c:spPr>
            </c:marker>
          </c:dPt>
          <c:dPt>
            <c:idx val="7"/>
            <c:marker>
              <c:symbol val="circle"/>
              <c:size val="5"/>
              <c:spPr>
                <a:solidFill>
                  <a:srgbClr val="1f3b57"/>
                </a:solidFill>
              </c:spPr>
            </c:marker>
          </c:dPt>
          <c:dPt>
            <c:idx val="8"/>
            <c:marker>
              <c:symbol val="circle"/>
              <c:size val="5"/>
              <c:spPr>
                <a:solidFill>
                  <a:srgbClr val="1f3b57"/>
                </a:solidFill>
              </c:spPr>
            </c:marker>
          </c:dPt>
          <c:dPt>
            <c:idx val="9"/>
            <c:marker>
              <c:symbol val="circle"/>
              <c:size val="5"/>
              <c:spPr>
                <a:solidFill>
                  <a:srgbClr val="1f3b57"/>
                </a:solidFill>
              </c:spPr>
            </c:marker>
          </c:dPt>
          <c:dLbls>
            <c:dLbl>
              <c:idx val="0"/>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1"/>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2"/>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3"/>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4"/>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5"/>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6"/>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7"/>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8"/>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9"/>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0"/>
            <c:extLst>
              <c:ext xmlns:c15="http://schemas.microsoft.com/office/drawing/2012/chart" uri="{CE6537A1-D6FC-4f65-9D91-7224C49458BB}">
                <c15:showLeaderLines val="0"/>
              </c:ext>
            </c:extLst>
          </c:dLbls>
          <c:xVal>
            <c:numRef>
              <c:f>'Composite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'Composite vs Market'!$AA$4:$AA$13</c:f>
              <c:numCache>
                <c:formatCode>#,##0</c:formatCode>
                <c:ptCount val="10"/>
                <c:pt idx="0">
                  <c:v>31.6313190637154</c:v>
                </c:pt>
                <c:pt idx="1">
                  <c:v>32.3851045859914</c:v>
                </c:pt>
                <c:pt idx="2">
                  <c:v>33.365978832824</c:v>
                </c:pt>
                <c:pt idx="3">
                  <c:v>34.5498725143906</c:v>
                </c:pt>
                <c:pt idx="4">
                  <c:v>34.0125009840526</c:v>
                </c:pt>
                <c:pt idx="5">
                  <c:v>34.3147010369627</c:v>
                </c:pt>
                <c:pt idx="6">
                  <c:v>34.9589096868985</c:v>
                </c:pt>
                <c:pt idx="7">
                  <c:v>35.3207484274751</c:v>
                </c:pt>
                <c:pt idx="8">
                  <c:v>36.0129883425729</c:v>
                </c:pt>
                <c:pt idx="9">
                  <c:v>36.7572621381188</c:v>
                </c:pt>
              </c:numCache>
            </c:numRef>
          </c:yVal>
          <c:smooth val="0"/>
        </c:ser>
        <c:axId val="17102961"/>
        <c:axId val="79642939"/>
      </c:scatterChart>
      <c:valAx>
        <c:axId val="17102961"/>
        <c:scaling>
          <c:orientation val="minMax"/>
        </c:scaling>
        <c:delete val="0"/>
        <c:axPos val="b"/>
        <c:numFmt formatCode="0" sourceLinked="0"/>
        <c:majorTickMark val="none"/>
        <c:minorTickMark val="none"/>
        <c:tickLblPos val="low"/>
        <c:spPr>
          <a:ln w="0">
            <a:solidFill>
              <a:srgbClr val="b3b3b3"/>
            </a:solidFill>
          </a:ln>
        </c:spPr>
        <c:txPr>
          <a:bodyPr/>
          <a:lstStyle/>
          <a:p>
            <a:pPr>
              <a:defRPr b="0" sz="1000" spc="-1" strike="noStrike">
                <a:solidFill>
                  <a:srgbClr val="000000"/>
                </a:solidFill>
                <a:latin typeface="Calibri"/>
              </a:defRPr>
            </a:pPr>
          </a:p>
        </c:txPr>
        <c:crossAx val="79642939"/>
        <c:crosses val="autoZero"/>
        <c:crossBetween val="midCat"/>
        <c:majorUnit val="1"/>
      </c:valAx>
      <c:valAx>
        <c:axId val="79642939"/>
        <c:scaling>
          <c:orientation val="minMax"/>
        </c:scaling>
        <c:delete val="0"/>
        <c:axPos val="l"/>
        <c:majorGridlines>
          <c:spPr>
            <a:ln w="0">
              <a:solidFill>
                <a:srgbClr val="b3b3b3"/>
              </a:solidFill>
            </a:ln>
          </c:spPr>
        </c:majorGridlines>
        <c:numFmt formatCode="\$0.00"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17102961"/>
        <c:crosses val="autoZero"/>
        <c:crossBetween val="midCat"/>
      </c:valAx>
      <c:spPr>
        <a:noFill/>
        <a:ln w="0">
          <a:noFill/>
        </a:ln>
      </c:spPr>
    </c:plotArea>
    <c:plotVisOnly val="1"/>
    <c:dispBlanksAs val="gap"/>
  </c:chart>
  <c:spPr>
    <a:solidFill>
      <a:srgbClr val="ffffff"/>
    </a:solidFill>
    <a:ln w="9360">
      <a:solidFill>
        <a:srgbClr val="d9d9d9"/>
      </a:solidFill>
      <a:round/>
    </a:ln>
  </c:spPr>
</c:chartSpace>
</file>

<file path=xl/charts/chart41.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lang="en-US" sz="1200" spc="-1" strike="noStrike">
                <a:solidFill>
                  <a:srgbClr val="000000"/>
                </a:solidFill>
                <a:latin typeface="Calibri"/>
              </a:defRPr>
            </a:pPr>
            <a:r>
              <a:rPr b="1" lang="en-US" sz="1200" spc="-1" strike="noStrike">
                <a:solidFill>
                  <a:srgbClr val="000000"/>
                </a:solidFill>
                <a:latin typeface="Calibri"/>
              </a:rPr>
              <a:t>Inflation and the Cost of Debt: CPI vs. Prime Rate (2016-2025)
2022: CPI averaged 8.0% while the prime rate averaged 4.9%; the prime rate followed to 8.3% by 2023.</a:t>
            </a:r>
          </a:p>
        </c:rich>
      </c:tx>
      <c:overlay val="0"/>
      <c:spPr>
        <a:noFill/>
        <a:ln w="0">
          <a:noFill/>
        </a:ln>
      </c:spPr>
    </c:title>
    <c:autoTitleDeleted val="0"/>
    <c:plotArea>
      <c:layout>
        <c:manualLayout>
          <c:layoutTarget val="inner"/>
          <c:xMode val="edge"/>
          <c:yMode val="edge"/>
          <c:x val="0.100039750894395"/>
          <c:y val="0.160271228232393"/>
          <c:w val="0.799059228832649"/>
          <c:h val="0.619355832948066"/>
        </c:manualLayout>
      </c:layout>
      <c:scatterChart>
        <c:scatterStyle val="lineMarker"/>
        <c:varyColors val="0"/>
        <c:ser>
          <c:idx val="0"/>
          <c:order val="0"/>
          <c:tx>
            <c:strRef>
              <c:f>"Bank Prime Loan Rate"</c:f>
              <c:strCache>
                <c:ptCount val="1"/>
                <c:pt idx="0">
                  <c:v>Bank Prime Loan Rate</c:v>
                </c:pt>
              </c:strCache>
            </c:strRef>
          </c:tx>
          <c:spPr>
            <a:solidFill>
              <a:srgbClr val="8a8a8a"/>
            </a:solidFill>
            <a:ln w="28440">
              <a:solidFill>
                <a:srgbClr val="8a8a8a"/>
              </a:solidFill>
              <a:round/>
            </a:ln>
          </c:spPr>
          <c:marker>
            <c:symbol val="triangle"/>
            <c:size val="5"/>
            <c:spPr>
              <a:solidFill>
                <a:srgbClr val="8a8a8a"/>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0"/>
            <c:extLst>
              <c:ext xmlns:c15="http://schemas.microsoft.com/office/drawing/2012/chart" uri="{CE6537A1-D6FC-4f65-9D91-7224C49458BB}">
                <c15:showLeaderLines val="0"/>
              </c:ext>
            </c:extLst>
          </c:dLbls>
          <c:xVal>
            <c:numRef>
              <c:f>'Composite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'Composite vs Market'!$P$4:$P$13</c:f>
              <c:numCache>
                <c:formatCode>0.00%</c:formatCode>
                <c:ptCount val="10"/>
                <c:pt idx="0">
                  <c:v>0.0351</c:v>
                </c:pt>
                <c:pt idx="1">
                  <c:v>0.041</c:v>
                </c:pt>
                <c:pt idx="2">
                  <c:v>0.049</c:v>
                </c:pt>
                <c:pt idx="3">
                  <c:v>0.0528</c:v>
                </c:pt>
                <c:pt idx="4">
                  <c:v>0.0354</c:v>
                </c:pt>
                <c:pt idx="5">
                  <c:v>0.0325</c:v>
                </c:pt>
                <c:pt idx="6">
                  <c:v>0.0485</c:v>
                </c:pt>
                <c:pt idx="7">
                  <c:v>0.0819</c:v>
                </c:pt>
                <c:pt idx="8">
                  <c:v>0.0831</c:v>
                </c:pt>
                <c:pt idx="9">
                  <c:v>0.0737</c:v>
                </c:pt>
              </c:numCache>
            </c:numRef>
          </c:yVal>
          <c:smooth val="0"/>
        </c:ser>
        <c:ser>
          <c:idx val="1"/>
          <c:order val="1"/>
          <c:tx>
            <c:strRef>
              <c:f>"CPI Inflation (annual avg, YoY)"</c:f>
              <c:strCache>
                <c:ptCount val="1"/>
                <c:pt idx="0">
                  <c:v>CPI Inflation (annual avg, YoY)</c:v>
                </c:pt>
              </c:strCache>
            </c:strRef>
          </c:tx>
          <c:spPr>
            <a:solidFill>
              <a:srgbClr val="c08a00"/>
            </a:solidFill>
            <a:ln w="28440">
              <a:solidFill>
                <a:srgbClr val="c08a00"/>
              </a:solidFill>
              <a:round/>
            </a:ln>
          </c:spPr>
          <c:marker>
            <c:symbol val="diamond"/>
            <c:size val="5"/>
            <c:spPr>
              <a:solidFill>
                <a:srgbClr val="c08a00"/>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0"/>
            <c:extLst>
              <c:ext xmlns:c15="http://schemas.microsoft.com/office/drawing/2012/chart" uri="{CE6537A1-D6FC-4f65-9D91-7224C49458BB}">
                <c15:showLeaderLines val="0"/>
              </c:ext>
            </c:extLst>
          </c:dLbls>
          <c:xVal>
            <c:numRef>
              <c:f>'Composite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'Composite vs Market'!$S$4:$S$13</c:f>
              <c:numCache>
                <c:formatCode>0.0%</c:formatCode>
                <c:ptCount val="10"/>
                <c:pt idx="0">
                  <c:v>0.0126707791495431</c:v>
                </c:pt>
                <c:pt idx="1">
                  <c:v>0.0213162225786963</c:v>
                </c:pt>
                <c:pt idx="2">
                  <c:v>0.0243920349541655</c:v>
                </c:pt>
                <c:pt idx="3">
                  <c:v>0.0181322182397452</c:v>
                </c:pt>
                <c:pt idx="4">
                  <c:v>0.0125287010127009</c:v>
                </c:pt>
                <c:pt idx="5">
                  <c:v>0.0468098093148315</c:v>
                </c:pt>
                <c:pt idx="6">
                  <c:v>0.0799083303502561</c:v>
                </c:pt>
                <c:pt idx="7">
                  <c:v>0.0412711105643382</c:v>
                </c:pt>
                <c:pt idx="8">
                  <c:v>0.0295205495187116</c:v>
                </c:pt>
                <c:pt idx="9">
                  <c:v>0.0263438083762091</c:v>
                </c:pt>
              </c:numCache>
            </c:numRef>
          </c:yVal>
          <c:smooth val="0"/>
        </c:ser>
        <c:axId val="5593420"/>
        <c:axId val="74142525"/>
      </c:scatterChart>
      <c:valAx>
        <c:axId val="5593420"/>
        <c:scaling>
          <c:orientation val="minMax"/>
        </c:scaling>
        <c:delete val="0"/>
        <c:axPos val="b"/>
        <c:numFmt formatCode="0" sourceLinked="0"/>
        <c:majorTickMark val="none"/>
        <c:minorTickMark val="none"/>
        <c:tickLblPos val="low"/>
        <c:spPr>
          <a:ln w="0">
            <a:solidFill>
              <a:srgbClr val="b3b3b3"/>
            </a:solidFill>
          </a:ln>
        </c:spPr>
        <c:txPr>
          <a:bodyPr/>
          <a:lstStyle/>
          <a:p>
            <a:pPr>
              <a:defRPr b="0" sz="1000" spc="-1" strike="noStrike">
                <a:solidFill>
                  <a:srgbClr val="000000"/>
                </a:solidFill>
                <a:latin typeface="Calibri"/>
              </a:defRPr>
            </a:pPr>
          </a:p>
        </c:txPr>
        <c:crossAx val="74142525"/>
        <c:crosses val="autoZero"/>
        <c:crossBetween val="midCat"/>
        <c:majorUnit val="1"/>
      </c:valAx>
      <c:valAx>
        <c:axId val="74142525"/>
        <c:scaling>
          <c:orientation val="minMax"/>
        </c:scaling>
        <c:delete val="0"/>
        <c:axPos val="l"/>
        <c:majorGridlines>
          <c:spPr>
            <a:ln w="0">
              <a:solidFill>
                <a:srgbClr val="b3b3b3"/>
              </a:solidFill>
            </a:ln>
          </c:spPr>
        </c:majorGridlines>
        <c:numFmt formatCode="0.0%"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5593420"/>
        <c:crosses val="autoZero"/>
        <c:crossBetween val="midCat"/>
      </c:valAx>
      <c:spPr>
        <a:noFill/>
        <a:ln w="0">
          <a:noFill/>
        </a:ln>
      </c:spPr>
    </c:plotArea>
    <c:legend>
      <c:legendPos val="b"/>
      <c:overlay val="0"/>
      <c:spPr>
        <a:noFill/>
        <a:ln w="0">
          <a:noFill/>
        </a:ln>
      </c:spPr>
      <c:txPr>
        <a:bodyPr/>
        <a:lstStyle/>
        <a:p>
          <a:pPr>
            <a:defRPr b="0" sz="1000" spc="-1" strike="noStrike">
              <a:solidFill>
                <a:srgbClr val="000000"/>
              </a:solidFill>
              <a:latin typeface="Calibri"/>
            </a:defRPr>
          </a:pPr>
        </a:p>
      </c:txPr>
    </c:legend>
    <c:plotVisOnly val="1"/>
    <c:dispBlanksAs val="gap"/>
  </c:chart>
  <c:spPr>
    <a:solidFill>
      <a:srgbClr val="ffffff"/>
    </a:solidFill>
    <a:ln w="9360">
      <a:solidFill>
        <a:srgbClr val="d9d9d9"/>
      </a:solidFill>
      <a:round/>
    </a:ln>
  </c:spPr>
</c:chartSpace>
</file>

<file path=xl/charts/chart42.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lang="en-US" sz="1200" spc="-1" strike="noStrike">
                <a:solidFill>
                  <a:srgbClr val="000000"/>
                </a:solidFill>
                <a:latin typeface="Calibri"/>
              </a:defRPr>
            </a:pPr>
            <a:r>
              <a:rPr b="1" lang="en-US" sz="1200" spc="-1" strike="noStrike">
                <a:solidFill>
                  <a:srgbClr val="000000"/>
                </a:solidFill>
                <a:latin typeface="Calibri"/>
              </a:rPr>
              <a:t>Valuation: Gross NOI Multiple (2016-2025)
Composite figures are aggregate, not per share; fully diluted units (shares plus OP and LTIP units) grew about 0.4% per year on average (2016-2025).</a:t>
            </a:r>
          </a:p>
        </c:rich>
      </c:tx>
      <c:overlay val="0"/>
      <c:spPr>
        <a:noFill/>
        <a:ln w="0">
          <a:noFill/>
        </a:ln>
      </c:spPr>
    </c:title>
    <c:autoTitleDeleted val="0"/>
    <c:plotArea>
      <c:layout>
        <c:manualLayout>
          <c:layoutTarget val="inner"/>
          <c:xMode val="edge"/>
          <c:yMode val="edge"/>
          <c:x val="0.100039750894395"/>
          <c:y val="0.160271228232393"/>
          <c:w val="0.799059228832649"/>
          <c:h val="0.619355832948066"/>
        </c:manualLayout>
      </c:layout>
      <c:scatterChart>
        <c:scatterStyle val="lineMarker"/>
        <c:varyColors val="0"/>
        <c:ser>
          <c:idx val="0"/>
          <c:order val="0"/>
          <c:tx>
            <c:strRef>
              <c:f>"Gross NOI Multiple (x)"</c:f>
              <c:strCache>
                <c:ptCount val="1"/>
                <c:pt idx="0">
                  <c:v>Gross NOI Multiple (x)</c:v>
                </c:pt>
              </c:strCache>
            </c:strRef>
          </c:tx>
          <c:spPr>
            <a:solidFill>
              <a:srgbClr val="a31f34"/>
            </a:solidFill>
            <a:ln w="28440">
              <a:solidFill>
                <a:srgbClr val="a31f34"/>
              </a:solidFill>
              <a:round/>
            </a:ln>
          </c:spPr>
          <c:marker>
            <c:symbol val="square"/>
            <c:size val="5"/>
            <c:spPr>
              <a:solidFill>
                <a:srgbClr val="a31f34"/>
              </a:solidFill>
            </c:spPr>
          </c:marker>
          <c:dPt>
            <c:idx val="0"/>
            <c:marker>
              <c:symbol val="square"/>
              <c:size val="5"/>
              <c:spPr>
                <a:solidFill>
                  <a:srgbClr val="a31f34"/>
                </a:solidFill>
              </c:spPr>
            </c:marker>
          </c:dPt>
          <c:dPt>
            <c:idx val="1"/>
            <c:marker>
              <c:symbol val="square"/>
              <c:size val="5"/>
              <c:spPr>
                <a:solidFill>
                  <a:srgbClr val="a31f34"/>
                </a:solidFill>
              </c:spPr>
            </c:marker>
          </c:dPt>
          <c:dPt>
            <c:idx val="2"/>
            <c:marker>
              <c:symbol val="square"/>
              <c:size val="5"/>
              <c:spPr>
                <a:solidFill>
                  <a:srgbClr val="a31f34"/>
                </a:solidFill>
              </c:spPr>
            </c:marker>
          </c:dPt>
          <c:dPt>
            <c:idx val="3"/>
            <c:marker>
              <c:symbol val="square"/>
              <c:size val="5"/>
              <c:spPr>
                <a:solidFill>
                  <a:srgbClr val="a31f34"/>
                </a:solidFill>
              </c:spPr>
            </c:marker>
          </c:dPt>
          <c:dPt>
            <c:idx val="4"/>
            <c:marker>
              <c:symbol val="square"/>
              <c:size val="5"/>
              <c:spPr>
                <a:solidFill>
                  <a:srgbClr val="a31f34"/>
                </a:solidFill>
              </c:spPr>
            </c:marker>
          </c:dPt>
          <c:dPt>
            <c:idx val="5"/>
            <c:marker>
              <c:symbol val="square"/>
              <c:size val="5"/>
              <c:spPr>
                <a:solidFill>
                  <a:srgbClr val="a31f34"/>
                </a:solidFill>
              </c:spPr>
            </c:marker>
          </c:dPt>
          <c:dPt>
            <c:idx val="6"/>
            <c:marker>
              <c:symbol val="square"/>
              <c:size val="5"/>
              <c:spPr>
                <a:solidFill>
                  <a:srgbClr val="a31f34"/>
                </a:solidFill>
              </c:spPr>
            </c:marker>
          </c:dPt>
          <c:dPt>
            <c:idx val="7"/>
            <c:marker>
              <c:symbol val="square"/>
              <c:size val="5"/>
              <c:spPr>
                <a:solidFill>
                  <a:srgbClr val="a31f34"/>
                </a:solidFill>
              </c:spPr>
            </c:marker>
          </c:dPt>
          <c:dPt>
            <c:idx val="8"/>
            <c:marker>
              <c:symbol val="square"/>
              <c:size val="5"/>
              <c:spPr>
                <a:solidFill>
                  <a:srgbClr val="a31f34"/>
                </a:solidFill>
              </c:spPr>
            </c:marker>
          </c:dPt>
          <c:dPt>
            <c:idx val="9"/>
            <c:marker>
              <c:symbol val="square"/>
              <c:size val="5"/>
              <c:spPr>
                <a:solidFill>
                  <a:srgbClr val="a31f34"/>
                </a:solidFill>
              </c:spPr>
            </c:marker>
          </c:dPt>
          <c:dLbls>
            <c:dLbl>
              <c:idx val="0"/>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1"/>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2"/>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3"/>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4"/>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5"/>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6"/>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7"/>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8"/>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dLbl>
              <c:idx val="9"/>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dLbl>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0"/>
            <c:extLst>
              <c:ext xmlns:c15="http://schemas.microsoft.com/office/drawing/2012/chart" uri="{CE6537A1-D6FC-4f65-9D91-7224C49458BB}">
                <c15:showLeaderLines val="0"/>
              </c:ext>
            </c:extLst>
          </c:dLbls>
          <c:xVal>
            <c:numRef>
              <c:f>'Composite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'Composite vs Market'!$J$4:$J$13</c:f>
              <c:numCache>
                <c:formatCode>0.0\x</c:formatCode>
                <c:ptCount val="10"/>
                <c:pt idx="0">
                  <c:v>19.5978714122781</c:v>
                </c:pt>
                <c:pt idx="1">
                  <c:v>20.0764210227991</c:v>
                </c:pt>
                <c:pt idx="2">
                  <c:v>18.4688791786754</c:v>
                </c:pt>
                <c:pt idx="3">
                  <c:v>19.5449449957381</c:v>
                </c:pt>
                <c:pt idx="4">
                  <c:v>16.8514243803842</c:v>
                </c:pt>
                <c:pt idx="5">
                  <c:v>17.7678558903391</c:v>
                </c:pt>
                <c:pt idx="6">
                  <c:v>13.0803775483318</c:v>
                </c:pt>
                <c:pt idx="7">
                  <c:v>13.3626893961245</c:v>
                </c:pt>
                <c:pt idx="8">
                  <c:v>13.8649905324886</c:v>
                </c:pt>
                <c:pt idx="9">
                  <c:v>13.0247837124772</c:v>
                </c:pt>
              </c:numCache>
            </c:numRef>
          </c:yVal>
          <c:smooth val="0"/>
        </c:ser>
        <c:axId val="3312406"/>
        <c:axId val="21106496"/>
      </c:scatterChart>
      <c:valAx>
        <c:axId val="3312406"/>
        <c:scaling>
          <c:orientation val="minMax"/>
        </c:scaling>
        <c:delete val="0"/>
        <c:axPos val="b"/>
        <c:numFmt formatCode="0" sourceLinked="0"/>
        <c:majorTickMark val="none"/>
        <c:minorTickMark val="none"/>
        <c:tickLblPos val="low"/>
        <c:spPr>
          <a:ln w="0">
            <a:solidFill>
              <a:srgbClr val="b3b3b3"/>
            </a:solidFill>
          </a:ln>
        </c:spPr>
        <c:txPr>
          <a:bodyPr/>
          <a:lstStyle/>
          <a:p>
            <a:pPr>
              <a:defRPr b="0" sz="1000" spc="-1" strike="noStrike">
                <a:solidFill>
                  <a:srgbClr val="000000"/>
                </a:solidFill>
                <a:latin typeface="Calibri"/>
              </a:defRPr>
            </a:pPr>
          </a:p>
        </c:txPr>
        <c:crossAx val="21106496"/>
        <c:crosses val="autoZero"/>
        <c:crossBetween val="midCat"/>
        <c:majorUnit val="1"/>
      </c:valAx>
      <c:valAx>
        <c:axId val="21106496"/>
        <c:scaling>
          <c:orientation val="minMax"/>
        </c:scaling>
        <c:delete val="0"/>
        <c:axPos val="l"/>
        <c:majorGridlines>
          <c:spPr>
            <a:ln w="0">
              <a:solidFill>
                <a:srgbClr val="b3b3b3"/>
              </a:solidFill>
            </a:ln>
          </c:spPr>
        </c:majorGridlines>
        <c:numFmt formatCode="0.0"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3312406"/>
        <c:crosses val="autoZero"/>
        <c:crossBetween val="midCat"/>
      </c:valAx>
      <c:spPr>
        <a:noFill/>
        <a:ln w="0">
          <a:noFill/>
        </a:ln>
      </c:spPr>
    </c:plotArea>
    <c:plotVisOnly val="1"/>
    <c:dispBlanksAs val="gap"/>
  </c:chart>
  <c:spPr>
    <a:solidFill>
      <a:srgbClr val="ffffff"/>
    </a:solidFill>
    <a:ln w="9360">
      <a:solidFill>
        <a:srgbClr val="d9d9d9"/>
      </a:solidFill>
      <a:round/>
    </a:ln>
  </c:spPr>
</c:chartSpace>
</file>

<file path=xl/charts/chart43.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lang="en-US" sz="1800" spc="-1" strike="noStrike">
                <a:solidFill>
                  <a:srgbClr val="000000"/>
                </a:solidFill>
                <a:latin typeface="Calibri"/>
              </a:defRPr>
            </a:pPr>
            <a:r>
              <a:rPr b="1" lang="en-US" sz="1800" spc="-1" strike="noStrike">
                <a:solidFill>
                  <a:srgbClr val="000000"/>
                </a:solidFill>
                <a:latin typeface="Calibri"/>
              </a:rPr>
              <a:t>Composite Stabilized Implied Cap Rate vs. 10-Yr UST, with Spread (2016-2025)</a:t>
            </a:r>
          </a:p>
        </c:rich>
      </c:tx>
      <c:overlay val="0"/>
      <c:spPr>
        <a:noFill/>
        <a:ln w="0">
          <a:noFill/>
        </a:ln>
      </c:spPr>
    </c:title>
    <c:autoTitleDeleted val="0"/>
    <c:plotArea>
      <c:layout>
        <c:manualLayout>
          <c:layoutTarget val="inner"/>
          <c:xMode val="edge"/>
          <c:yMode val="edge"/>
          <c:x val="0.100039750894395"/>
          <c:y val="0.140237324703344"/>
          <c:w val="0.799059228832649"/>
          <c:h val="0.679457543535214"/>
        </c:manualLayout>
      </c:layout>
      <c:barChart>
        <c:barDir val="col"/>
        <c:grouping val="clustered"/>
        <c:varyColors val="0"/>
        <c:ser>
          <c:idx val="0"/>
          <c:order val="0"/>
          <c:tx>
            <c:strRef>
              <c:f>'Composite vs Market'!$D$3</c:f>
              <c:strCache>
                <c:ptCount val="1"/>
                <c:pt idx="0">
                  <c:v>Spread: Cap Rate less UST (pp)</c:v>
                </c:pt>
              </c:strCache>
            </c:strRef>
          </c:tx>
          <c:spPr>
            <a:solidFill>
              <a:srgbClr val="d9a0a8"/>
            </a:solidFill>
            <a:ln w="0">
              <a:solidFill>
                <a:srgbClr val="b87b85"/>
              </a:solidFill>
            </a:ln>
          </c:spPr>
          <c:invertIfNegative val="0"/>
          <c:dLbls>
            <c:txPr>
              <a:bodyPr wrap="square"/>
              <a:lstStyle/>
              <a:p>
                <a:pPr>
                  <a:defRPr b="0" sz="1000" spc="-1" strike="noStrike">
                    <a:solidFill>
                      <a:srgbClr val="000000"/>
                    </a:solidFill>
                    <a:latin typeface="Calibri"/>
                  </a:defRPr>
                </a:pPr>
              </a:p>
            </c:txPr>
            <c:dLblPos val="outEnd"/>
            <c:showLegendKey val="0"/>
            <c:showVal val="0"/>
            <c:showCatName val="0"/>
            <c:showSerName val="0"/>
            <c:showPercent val="0"/>
            <c:separator>; </c:separator>
            <c:showLeaderLines val="0"/>
            <c:extLst>
              <c:ext xmlns:c15="http://schemas.microsoft.com/office/drawing/2012/chart" uri="{CE6537A1-D6FC-4f65-9D91-7224C49458BB}">
                <c15:showLeaderLines val="0"/>
              </c:ext>
            </c:extLst>
          </c:dLbls>
          <c:cat>
            <c:strRef>
              <c:f>'Composite vs Market'!$A$4:$A$13</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f>'Composite vs Market'!$D$4:$D$13</c:f>
              <c:numCache>
                <c:formatCode>0.00%</c:formatCode>
                <c:ptCount val="10"/>
                <c:pt idx="0">
                  <c:v>0.0265259496535679</c:v>
                </c:pt>
                <c:pt idx="1">
                  <c:v>0.0258096746857612</c:v>
                </c:pt>
                <c:pt idx="2">
                  <c:v>0.0272451373592081</c:v>
                </c:pt>
                <c:pt idx="3">
                  <c:v>0.0319641245456592</c:v>
                </c:pt>
                <c:pt idx="4">
                  <c:v>0.0500421646400434</c:v>
                </c:pt>
                <c:pt idx="5">
                  <c:v>0.0410814110026484</c:v>
                </c:pt>
                <c:pt idx="6">
                  <c:v>0.0376503926820929</c:v>
                </c:pt>
                <c:pt idx="7">
                  <c:v>0.0360352349108724</c:v>
                </c:pt>
                <c:pt idx="8">
                  <c:v>0.0263241026206825</c:v>
                </c:pt>
                <c:pt idx="9">
                  <c:v>0.0349767067826269</c:v>
                </c:pt>
              </c:numCache>
            </c:numRef>
          </c:val>
        </c:ser>
        <c:gapWidth val="80"/>
        <c:overlap val="0"/>
        <c:axId val="61910263"/>
        <c:axId val="84197833"/>
      </c:barChart>
      <c:lineChart>
        <c:grouping val="standard"/>
        <c:varyColors val="0"/>
        <c:ser>
          <c:idx val="1"/>
          <c:order val="1"/>
          <c:tx>
            <c:strRef>
              <c:f>'Composite vs Market'!$B$3</c:f>
              <c:strCache>
                <c:ptCount val="1"/>
                <c:pt idx="0">
                  <c:v>Composite Stabilized Implied Cap Rate (%)</c:v>
                </c:pt>
              </c:strCache>
            </c:strRef>
          </c:tx>
          <c:spPr>
            <a:solidFill>
              <a:srgbClr val="a31f34"/>
            </a:solidFill>
            <a:ln w="28080">
              <a:solidFill>
                <a:srgbClr val="a31f34"/>
              </a:solidFill>
              <a:round/>
            </a:ln>
          </c:spPr>
          <c:marker>
            <c:symbol val="circle"/>
            <c:size val="6"/>
            <c:spPr>
              <a:solidFill>
                <a:srgbClr val="a31f34"/>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0"/>
            <c:extLst>
              <c:ext xmlns:c15="http://schemas.microsoft.com/office/drawing/2012/chart" uri="{CE6537A1-D6FC-4f65-9D91-7224C49458BB}">
                <c15:showLeaderLines val="0"/>
              </c:ext>
            </c:extLst>
          </c:dLbls>
          <c:cat>
            <c:strRef>
              <c:f>'Composite vs Market'!$A$4:$A$13</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f>'Composite vs Market'!$B$4:$B$13</c:f>
              <c:numCache>
                <c:formatCode>0.00%</c:formatCode>
                <c:ptCount val="10"/>
                <c:pt idx="0">
                  <c:v>0.0510259496535679</c:v>
                </c:pt>
                <c:pt idx="1">
                  <c:v>0.0498096746857612</c:v>
                </c:pt>
                <c:pt idx="2">
                  <c:v>0.0541451373592081</c:v>
                </c:pt>
                <c:pt idx="3">
                  <c:v>0.0511641245456592</c:v>
                </c:pt>
                <c:pt idx="4">
                  <c:v>0.0593421646400434</c:v>
                </c:pt>
                <c:pt idx="5">
                  <c:v>0.0562814110026484</c:v>
                </c:pt>
                <c:pt idx="6">
                  <c:v>0.0764503926820929</c:v>
                </c:pt>
                <c:pt idx="7">
                  <c:v>0.0748352349108724</c:v>
                </c:pt>
                <c:pt idx="8">
                  <c:v>0.0721241026206825</c:v>
                </c:pt>
                <c:pt idx="9">
                  <c:v>0.0767767067826269</c:v>
                </c:pt>
              </c:numCache>
            </c:numRef>
          </c:val>
          <c:smooth val="0"/>
        </c:ser>
        <c:ser>
          <c:idx val="2"/>
          <c:order val="2"/>
          <c:tx>
            <c:strRef>
              <c:f>'Composite vs Market'!$C$3</c:f>
              <c:strCache>
                <c:ptCount val="1"/>
                <c:pt idx="0">
                  <c:v>10-Yr UST Yield (%)</c:v>
                </c:pt>
              </c:strCache>
            </c:strRef>
          </c:tx>
          <c:spPr>
            <a:solidFill>
              <a:srgbClr val="3a3a3a"/>
            </a:solidFill>
            <a:ln w="28080">
              <a:solidFill>
                <a:srgbClr val="3a3a3a"/>
              </a:solidFill>
              <a:round/>
            </a:ln>
          </c:spPr>
          <c:marker>
            <c:symbol val="circle"/>
            <c:size val="6"/>
            <c:spPr>
              <a:solidFill>
                <a:srgbClr val="3a3a3a"/>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0"/>
            <c:extLst>
              <c:ext xmlns:c15="http://schemas.microsoft.com/office/drawing/2012/chart" uri="{CE6537A1-D6FC-4f65-9D91-7224C49458BB}">
                <c15:showLeaderLines val="0"/>
              </c:ext>
            </c:extLst>
          </c:dLbls>
          <c:cat>
            <c:strRef>
              <c:f>'Composite vs Market'!$A$4:$A$13</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f>'Composite vs Market'!$C$4:$C$13</c:f>
              <c:numCache>
                <c:formatCode>0.00%</c:formatCode>
                <c:ptCount val="10"/>
                <c:pt idx="0">
                  <c:v>0.0245</c:v>
                </c:pt>
                <c:pt idx="1">
                  <c:v>0.024</c:v>
                </c:pt>
                <c:pt idx="2">
                  <c:v>0.0269</c:v>
                </c:pt>
                <c:pt idx="3">
                  <c:v>0.0192</c:v>
                </c:pt>
                <c:pt idx="4">
                  <c:v>0.0093</c:v>
                </c:pt>
                <c:pt idx="5">
                  <c:v>0.0152</c:v>
                </c:pt>
                <c:pt idx="6">
                  <c:v>0.0388</c:v>
                </c:pt>
                <c:pt idx="7">
                  <c:v>0.0388</c:v>
                </c:pt>
                <c:pt idx="8">
                  <c:v>0.0458</c:v>
                </c:pt>
                <c:pt idx="9">
                  <c:v>0.0418</c:v>
                </c:pt>
              </c:numCache>
            </c:numRef>
          </c:val>
          <c:smooth val="0"/>
        </c:ser>
        <c:hiLowLines>
          <c:spPr>
            <a:ln w="0">
              <a:noFill/>
            </a:ln>
          </c:spPr>
        </c:hiLowLines>
        <c:marker val="1"/>
        <c:axId val="83033923"/>
        <c:axId val="11142457"/>
      </c:lineChart>
      <c:catAx>
        <c:axId val="61910263"/>
        <c:scaling>
          <c:orientation val="minMax"/>
        </c:scaling>
        <c:delete val="0"/>
        <c:axPos val="b"/>
        <c:numFmt formatCode="General" sourceLinked="0"/>
        <c:majorTickMark val="none"/>
        <c:minorTickMark val="none"/>
        <c:tickLblPos val="low"/>
        <c:spPr>
          <a:ln w="0">
            <a:solidFill>
              <a:srgbClr val="b3b3b3"/>
            </a:solidFill>
          </a:ln>
        </c:spPr>
        <c:txPr>
          <a:bodyPr/>
          <a:lstStyle/>
          <a:p>
            <a:pPr>
              <a:defRPr b="0" sz="1000" spc="-1" strike="noStrike">
                <a:solidFill>
                  <a:srgbClr val="000000"/>
                </a:solidFill>
                <a:latin typeface="Calibri"/>
              </a:defRPr>
            </a:pPr>
          </a:p>
        </c:txPr>
        <c:crossAx val="84197833"/>
        <c:crosses val="autoZero"/>
        <c:auto val="1"/>
        <c:lblAlgn val="ctr"/>
        <c:lblOffset val="100"/>
        <c:noMultiLvlLbl val="0"/>
      </c:catAx>
      <c:valAx>
        <c:axId val="84197833"/>
        <c:scaling>
          <c:orientation val="minMax"/>
        </c:scaling>
        <c:delete val="0"/>
        <c:axPos val="l"/>
        <c:majorGridlines>
          <c:spPr>
            <a:ln w="0">
              <a:solidFill>
                <a:srgbClr val="b3b3b3"/>
              </a:solidFill>
            </a:ln>
          </c:spPr>
        </c:majorGridlines>
        <c:title>
          <c:tx>
            <c:rich>
              <a:bodyPr rot="-5400000"/>
              <a:lstStyle/>
              <a:p>
                <a:pPr>
                  <a:defRPr b="1" lang="en-US" sz="1000" spc="-1" strike="noStrike">
                    <a:solidFill>
                      <a:srgbClr val="000000"/>
                    </a:solidFill>
                    <a:latin typeface="Calibri"/>
                  </a:defRPr>
                </a:pPr>
                <a:r>
                  <a:rPr b="1" lang="en-US" sz="1000" spc="-1" strike="noStrike">
                    <a:solidFill>
                      <a:srgbClr val="000000"/>
                    </a:solidFill>
                    <a:latin typeface="Calibri"/>
                  </a:rPr>
                  <a:t>Spread (pct pts)</a:t>
                </a:r>
              </a:p>
            </c:rich>
          </c:tx>
          <c:overlay val="0"/>
          <c:spPr>
            <a:noFill/>
            <a:ln w="0">
              <a:noFill/>
            </a:ln>
          </c:spPr>
        </c:title>
        <c:numFmt formatCode="0.0%"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61910263"/>
        <c:crosses val="autoZero"/>
        <c:crossBetween val="between"/>
      </c:valAx>
      <c:catAx>
        <c:axId val="83033923"/>
        <c:scaling>
          <c:orientation val="minMax"/>
        </c:scaling>
        <c:delete val="1"/>
        <c:axPos val="t"/>
        <c:numFmt formatCode="General" sourceLinked="1"/>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11142457"/>
        <c:auto val="1"/>
        <c:lblAlgn val="ctr"/>
        <c:lblOffset val="100"/>
        <c:noMultiLvlLbl val="0"/>
      </c:catAx>
      <c:valAx>
        <c:axId val="11142457"/>
        <c:scaling>
          <c:orientation val="minMax"/>
        </c:scaling>
        <c:delete val="0"/>
        <c:axPos val="r"/>
        <c:title>
          <c:tx>
            <c:rich>
              <a:bodyPr rot="-5400000"/>
              <a:lstStyle/>
              <a:p>
                <a:pPr>
                  <a:defRPr b="1" lang="en-US" sz="1000" spc="-1" strike="noStrike">
                    <a:solidFill>
                      <a:srgbClr val="000000"/>
                    </a:solidFill>
                    <a:latin typeface="Calibri"/>
                  </a:defRPr>
                </a:pPr>
                <a:r>
                  <a:rPr b="1" lang="en-US" sz="1000" spc="-1" strike="noStrike">
                    <a:solidFill>
                      <a:srgbClr val="000000"/>
                    </a:solidFill>
                    <a:latin typeface="Calibri"/>
                  </a:rPr>
                  <a:t>Yield (%)</a:t>
                </a:r>
              </a:p>
            </c:rich>
          </c:tx>
          <c:overlay val="0"/>
          <c:spPr>
            <a:noFill/>
            <a:ln w="0">
              <a:noFill/>
            </a:ln>
          </c:spPr>
        </c:title>
        <c:numFmt formatCode="0.0%"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83033923"/>
        <c:crosses val="max"/>
        <c:crossBetween val="between"/>
      </c:valAx>
      <c:spPr>
        <a:noFill/>
        <a:ln w="0">
          <a:noFill/>
        </a:ln>
      </c:spPr>
    </c:plotArea>
    <c:legend>
      <c:legendPos val="b"/>
      <c:overlay val="0"/>
      <c:spPr>
        <a:noFill/>
        <a:ln w="0">
          <a:noFill/>
        </a:ln>
      </c:spPr>
      <c:txPr>
        <a:bodyPr/>
        <a:lstStyle/>
        <a:p>
          <a:pPr>
            <a:defRPr b="0" sz="1000" spc="-1" strike="noStrike">
              <a:solidFill>
                <a:srgbClr val="000000"/>
              </a:solidFill>
              <a:latin typeface="Calibri"/>
            </a:defRPr>
          </a:pPr>
        </a:p>
      </c:txPr>
    </c:legend>
    <c:plotVisOnly val="1"/>
    <c:dispBlanksAs val="gap"/>
  </c:chart>
  <c:spPr>
    <a:solidFill>
      <a:srgbClr val="ffffff"/>
    </a:solidFill>
    <a:ln w="9360">
      <a:solidFill>
        <a:srgbClr val="d9d9d9"/>
      </a:solidFill>
      <a:round/>
    </a:ln>
  </c:spPr>
</c:chartSpace>
</file>

<file path=xl/charts/chart44.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lang="en-US" sz="1800" spc="-1" strike="noStrike">
                <a:solidFill>
                  <a:srgbClr val="000000"/>
                </a:solidFill>
                <a:latin typeface="Calibri"/>
              </a:defRPr>
            </a:pPr>
            <a:r>
              <a:rPr b="1" lang="en-US" sz="1800" spc="-1" strike="noStrike">
                <a:solidFill>
                  <a:srgbClr val="000000"/>
                </a:solidFill>
                <a:latin typeface="Calibri"/>
              </a:rPr>
              <a:t>Composite: Cap Rate vs. Leveraged Equity Yield (2016-2025)</a:t>
            </a:r>
          </a:p>
        </c:rich>
      </c:tx>
      <c:overlay val="0"/>
      <c:spPr>
        <a:noFill/>
        <a:ln w="0">
          <a:noFill/>
        </a:ln>
      </c:spPr>
    </c:title>
    <c:autoTitleDeleted val="0"/>
    <c:plotArea>
      <c:layout>
        <c:manualLayout>
          <c:layoutTarget val="inner"/>
          <c:xMode val="edge"/>
          <c:yMode val="edge"/>
          <c:x val="0.100039750894395"/>
          <c:y val="0.140237324703344"/>
          <c:w val="0.799059228832649"/>
          <c:h val="0.679457543535214"/>
        </c:manualLayout>
      </c:layout>
      <c:barChart>
        <c:barDir val="col"/>
        <c:grouping val="clustered"/>
        <c:varyColors val="0"/>
        <c:ser>
          <c:idx val="0"/>
          <c:order val="0"/>
          <c:tx>
            <c:strRef>
              <c:f>'Composite vs Market'!$F$3</c:f>
              <c:strCache>
                <c:ptCount val="1"/>
                <c:pt idx="0">
                  <c:v>Leverage Contribution: Lev Yield less Cap Rate (pp)</c:v>
                </c:pt>
              </c:strCache>
            </c:strRef>
          </c:tx>
          <c:spPr>
            <a:solidFill>
              <a:srgbClr val="9dbb9d"/>
            </a:solidFill>
            <a:ln w="0">
              <a:solidFill>
                <a:srgbClr val="7a9a7a"/>
              </a:solidFill>
            </a:ln>
          </c:spPr>
          <c:invertIfNegative val="0"/>
          <c:dLbls>
            <c:txPr>
              <a:bodyPr wrap="square"/>
              <a:lstStyle/>
              <a:p>
                <a:pPr>
                  <a:defRPr b="0" sz="1000" spc="-1" strike="noStrike">
                    <a:solidFill>
                      <a:srgbClr val="000000"/>
                    </a:solidFill>
                    <a:latin typeface="Calibri"/>
                  </a:defRPr>
                </a:pPr>
              </a:p>
            </c:txPr>
            <c:dLblPos val="outEnd"/>
            <c:showLegendKey val="0"/>
            <c:showVal val="0"/>
            <c:showCatName val="0"/>
            <c:showSerName val="0"/>
            <c:showPercent val="0"/>
            <c:separator>; </c:separator>
            <c:showLeaderLines val="0"/>
            <c:extLst>
              <c:ext xmlns:c15="http://schemas.microsoft.com/office/drawing/2012/chart" uri="{CE6537A1-D6FC-4f65-9D91-7224C49458BB}">
                <c15:showLeaderLines val="0"/>
              </c:ext>
            </c:extLst>
          </c:dLbls>
          <c:cat>
            <c:strRef>
              <c:f>'Composite vs Market'!$A$4:$A$13</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f>'Composite vs Market'!$F$4:$F$13</c:f>
              <c:numCache>
                <c:formatCode>0.00%</c:formatCode>
                <c:ptCount val="10"/>
                <c:pt idx="0">
                  <c:v>0.00574962051507755</c:v>
                </c:pt>
                <c:pt idx="1">
                  <c:v>0.00660731804172258</c:v>
                </c:pt>
                <c:pt idx="2">
                  <c:v>0.0113065766060567</c:v>
                </c:pt>
                <c:pt idx="3">
                  <c:v>0.00857637446398287</c:v>
                </c:pt>
                <c:pt idx="4">
                  <c:v>0.022423391131525</c:v>
                </c:pt>
                <c:pt idx="5">
                  <c:v>0.0157717343029496</c:v>
                </c:pt>
                <c:pt idx="6">
                  <c:v>0.0573823150072467</c:v>
                </c:pt>
                <c:pt idx="7">
                  <c:v>0.0503676923524987</c:v>
                </c:pt>
                <c:pt idx="8">
                  <c:v>0.0407915058010311</c:v>
                </c:pt>
                <c:pt idx="9">
                  <c:v>0.0562607111354443</c:v>
                </c:pt>
              </c:numCache>
            </c:numRef>
          </c:val>
        </c:ser>
        <c:gapWidth val="80"/>
        <c:overlap val="0"/>
        <c:axId val="18141998"/>
        <c:axId val="79712399"/>
      </c:barChart>
      <c:lineChart>
        <c:grouping val="standard"/>
        <c:varyColors val="0"/>
        <c:ser>
          <c:idx val="1"/>
          <c:order val="1"/>
          <c:tx>
            <c:strRef>
              <c:f>'Composite vs Market'!$B$3</c:f>
              <c:strCache>
                <c:ptCount val="1"/>
                <c:pt idx="0">
                  <c:v>Composite Stabilized Implied Cap Rate (%)</c:v>
                </c:pt>
              </c:strCache>
            </c:strRef>
          </c:tx>
          <c:spPr>
            <a:solidFill>
              <a:srgbClr val="a31f34"/>
            </a:solidFill>
            <a:ln w="28080">
              <a:solidFill>
                <a:srgbClr val="a31f34"/>
              </a:solidFill>
              <a:round/>
            </a:ln>
          </c:spPr>
          <c:marker>
            <c:symbol val="circle"/>
            <c:size val="6"/>
            <c:spPr>
              <a:solidFill>
                <a:srgbClr val="a31f34"/>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0"/>
            <c:extLst>
              <c:ext xmlns:c15="http://schemas.microsoft.com/office/drawing/2012/chart" uri="{CE6537A1-D6FC-4f65-9D91-7224C49458BB}">
                <c15:showLeaderLines val="0"/>
              </c:ext>
            </c:extLst>
          </c:dLbls>
          <c:cat>
            <c:strRef>
              <c:f>'Composite vs Market'!$A$4:$A$13</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f>'Composite vs Market'!$B$4:$B$13</c:f>
              <c:numCache>
                <c:formatCode>0.00%</c:formatCode>
                <c:ptCount val="10"/>
                <c:pt idx="0">
                  <c:v>0.0510259496535679</c:v>
                </c:pt>
                <c:pt idx="1">
                  <c:v>0.0498096746857612</c:v>
                </c:pt>
                <c:pt idx="2">
                  <c:v>0.0541451373592081</c:v>
                </c:pt>
                <c:pt idx="3">
                  <c:v>0.0511641245456592</c:v>
                </c:pt>
                <c:pt idx="4">
                  <c:v>0.0593421646400434</c:v>
                </c:pt>
                <c:pt idx="5">
                  <c:v>0.0562814110026484</c:v>
                </c:pt>
                <c:pt idx="6">
                  <c:v>0.0764503926820929</c:v>
                </c:pt>
                <c:pt idx="7">
                  <c:v>0.0748352349108724</c:v>
                </c:pt>
                <c:pt idx="8">
                  <c:v>0.0721241026206825</c:v>
                </c:pt>
                <c:pt idx="9">
                  <c:v>0.0767767067826269</c:v>
                </c:pt>
              </c:numCache>
            </c:numRef>
          </c:val>
          <c:smooth val="0"/>
        </c:ser>
        <c:ser>
          <c:idx val="2"/>
          <c:order val="2"/>
          <c:tx>
            <c:strRef>
              <c:f>'Composite vs Market'!$E$3</c:f>
              <c:strCache>
                <c:ptCount val="1"/>
                <c:pt idx="0">
                  <c:v>Composite Stabilized Leveraged Equity Yield (%)</c:v>
                </c:pt>
              </c:strCache>
            </c:strRef>
          </c:tx>
          <c:spPr>
            <a:solidFill>
              <a:srgbClr val="3a3a3a"/>
            </a:solidFill>
            <a:ln w="28080">
              <a:solidFill>
                <a:srgbClr val="3a3a3a"/>
              </a:solidFill>
              <a:round/>
            </a:ln>
          </c:spPr>
          <c:marker>
            <c:symbol val="circle"/>
            <c:size val="6"/>
            <c:spPr>
              <a:solidFill>
                <a:srgbClr val="3a3a3a"/>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0"/>
            <c:extLst>
              <c:ext xmlns:c15="http://schemas.microsoft.com/office/drawing/2012/chart" uri="{CE6537A1-D6FC-4f65-9D91-7224C49458BB}">
                <c15:showLeaderLines val="0"/>
              </c:ext>
            </c:extLst>
          </c:dLbls>
          <c:cat>
            <c:strRef>
              <c:f>'Composite vs Market'!$A$4:$A$13</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f>'Composite vs Market'!$E$4:$E$13</c:f>
              <c:numCache>
                <c:formatCode>0.00%</c:formatCode>
                <c:ptCount val="10"/>
                <c:pt idx="0">
                  <c:v>0.0567755701686455</c:v>
                </c:pt>
                <c:pt idx="1">
                  <c:v>0.0564169927274838</c:v>
                </c:pt>
                <c:pt idx="2">
                  <c:v>0.0654517139652648</c:v>
                </c:pt>
                <c:pt idx="3">
                  <c:v>0.059740499009642</c:v>
                </c:pt>
                <c:pt idx="4">
                  <c:v>0.0817655557715684</c:v>
                </c:pt>
                <c:pt idx="5">
                  <c:v>0.072053145305598</c:v>
                </c:pt>
                <c:pt idx="6">
                  <c:v>0.13383270768934</c:v>
                </c:pt>
                <c:pt idx="7">
                  <c:v>0.125202927263371</c:v>
                </c:pt>
                <c:pt idx="8">
                  <c:v>0.112915608421714</c:v>
                </c:pt>
                <c:pt idx="9">
                  <c:v>0.133037417918071</c:v>
                </c:pt>
              </c:numCache>
            </c:numRef>
          </c:val>
          <c:smooth val="0"/>
        </c:ser>
        <c:hiLowLines>
          <c:spPr>
            <a:ln w="0">
              <a:noFill/>
            </a:ln>
          </c:spPr>
        </c:hiLowLines>
        <c:marker val="1"/>
        <c:axId val="36471193"/>
        <c:axId val="59330873"/>
      </c:lineChart>
      <c:catAx>
        <c:axId val="18141998"/>
        <c:scaling>
          <c:orientation val="minMax"/>
        </c:scaling>
        <c:delete val="0"/>
        <c:axPos val="b"/>
        <c:numFmt formatCode="General" sourceLinked="0"/>
        <c:majorTickMark val="none"/>
        <c:minorTickMark val="none"/>
        <c:tickLblPos val="low"/>
        <c:spPr>
          <a:ln w="0">
            <a:solidFill>
              <a:srgbClr val="b3b3b3"/>
            </a:solidFill>
          </a:ln>
        </c:spPr>
        <c:txPr>
          <a:bodyPr/>
          <a:lstStyle/>
          <a:p>
            <a:pPr>
              <a:defRPr b="0" sz="1000" spc="-1" strike="noStrike">
                <a:solidFill>
                  <a:srgbClr val="000000"/>
                </a:solidFill>
                <a:latin typeface="Calibri"/>
              </a:defRPr>
            </a:pPr>
          </a:p>
        </c:txPr>
        <c:crossAx val="79712399"/>
        <c:crosses val="autoZero"/>
        <c:auto val="1"/>
        <c:lblAlgn val="ctr"/>
        <c:lblOffset val="100"/>
        <c:noMultiLvlLbl val="0"/>
      </c:catAx>
      <c:valAx>
        <c:axId val="79712399"/>
        <c:scaling>
          <c:orientation val="minMax"/>
        </c:scaling>
        <c:delete val="0"/>
        <c:axPos val="l"/>
        <c:majorGridlines>
          <c:spPr>
            <a:ln w="0">
              <a:solidFill>
                <a:srgbClr val="b3b3b3"/>
              </a:solidFill>
            </a:ln>
          </c:spPr>
        </c:majorGridlines>
        <c:title>
          <c:tx>
            <c:rich>
              <a:bodyPr rot="-5400000"/>
              <a:lstStyle/>
              <a:p>
                <a:pPr>
                  <a:defRPr b="1" lang="en-US" sz="1000" spc="-1" strike="noStrike">
                    <a:solidFill>
                      <a:srgbClr val="000000"/>
                    </a:solidFill>
                    <a:latin typeface="Calibri"/>
                  </a:defRPr>
                </a:pPr>
                <a:r>
                  <a:rPr b="1" lang="en-US" sz="1000" spc="-1" strike="noStrike">
                    <a:solidFill>
                      <a:srgbClr val="000000"/>
                    </a:solidFill>
                    <a:latin typeface="Calibri"/>
                  </a:rPr>
                  <a:t>Leverage contribution (pct pts)</a:t>
                </a:r>
              </a:p>
            </c:rich>
          </c:tx>
          <c:overlay val="0"/>
          <c:spPr>
            <a:noFill/>
            <a:ln w="0">
              <a:noFill/>
            </a:ln>
          </c:spPr>
        </c:title>
        <c:numFmt formatCode="0.0%"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18141998"/>
        <c:crosses val="autoZero"/>
        <c:crossBetween val="between"/>
      </c:valAx>
      <c:catAx>
        <c:axId val="36471193"/>
        <c:scaling>
          <c:orientation val="minMax"/>
        </c:scaling>
        <c:delete val="1"/>
        <c:axPos val="t"/>
        <c:numFmt formatCode="General" sourceLinked="1"/>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59330873"/>
        <c:auto val="1"/>
        <c:lblAlgn val="ctr"/>
        <c:lblOffset val="100"/>
        <c:noMultiLvlLbl val="0"/>
      </c:catAx>
      <c:valAx>
        <c:axId val="59330873"/>
        <c:scaling>
          <c:orientation val="minMax"/>
        </c:scaling>
        <c:delete val="0"/>
        <c:axPos val="r"/>
        <c:title>
          <c:tx>
            <c:rich>
              <a:bodyPr rot="-5400000"/>
              <a:lstStyle/>
              <a:p>
                <a:pPr>
                  <a:defRPr b="1" lang="en-US" sz="1000" spc="-1" strike="noStrike">
                    <a:solidFill>
                      <a:srgbClr val="000000"/>
                    </a:solidFill>
                    <a:latin typeface="Calibri"/>
                  </a:defRPr>
                </a:pPr>
                <a:r>
                  <a:rPr b="1" lang="en-US" sz="1000" spc="-1" strike="noStrike">
                    <a:solidFill>
                      <a:srgbClr val="000000"/>
                    </a:solidFill>
                    <a:latin typeface="Calibri"/>
                  </a:rPr>
                  <a:t>Yield (%)</a:t>
                </a:r>
              </a:p>
            </c:rich>
          </c:tx>
          <c:overlay val="0"/>
          <c:spPr>
            <a:noFill/>
            <a:ln w="0">
              <a:noFill/>
            </a:ln>
          </c:spPr>
        </c:title>
        <c:numFmt formatCode="0.0%"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36471193"/>
        <c:crosses val="max"/>
        <c:crossBetween val="between"/>
      </c:valAx>
      <c:spPr>
        <a:noFill/>
        <a:ln w="0">
          <a:noFill/>
        </a:ln>
      </c:spPr>
    </c:plotArea>
    <c:legend>
      <c:legendPos val="b"/>
      <c:overlay val="0"/>
      <c:spPr>
        <a:noFill/>
        <a:ln w="0">
          <a:noFill/>
        </a:ln>
      </c:spPr>
      <c:txPr>
        <a:bodyPr/>
        <a:lstStyle/>
        <a:p>
          <a:pPr>
            <a:defRPr b="0" sz="1000" spc="-1" strike="noStrike">
              <a:solidFill>
                <a:srgbClr val="000000"/>
              </a:solidFill>
              <a:latin typeface="Calibri"/>
            </a:defRPr>
          </a:pPr>
        </a:p>
      </c:txPr>
    </c:legend>
    <c:plotVisOnly val="1"/>
    <c:dispBlanksAs val="gap"/>
  </c:chart>
  <c:spPr>
    <a:solidFill>
      <a:srgbClr val="ffffff"/>
    </a:solidFill>
    <a:ln w="9360">
      <a:solidFill>
        <a:srgbClr val="d9d9d9"/>
      </a:solidFill>
      <a:round/>
    </a:ln>
  </c:spPr>
</c:chartSpace>
</file>

<file path=xl/charts/chart45.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lang="en-US" sz="1200" spc="-1" strike="noStrike">
                <a:solidFill>
                  <a:srgbClr val="000000"/>
                </a:solidFill>
                <a:latin typeface="Calibri"/>
              </a:defRPr>
            </a:pPr>
            <a:r>
              <a:rPr b="1" lang="en-US" sz="1200" spc="-1" strike="noStrike">
                <a:solidFill>
                  <a:srgbClr val="000000"/>
                </a:solidFill>
                <a:latin typeface="Calibri"/>
              </a:rPr>
              <a:t>Annual NOI (labeled YoY growth) and Stabilized TEV: Gross NOI Multiple (2016-2025)</a:t>
            </a:r>
          </a:p>
        </c:rich>
      </c:tx>
      <c:overlay val="0"/>
      <c:spPr>
        <a:noFill/>
        <a:ln w="0">
          <a:noFill/>
        </a:ln>
      </c:spPr>
    </c:title>
    <c:autoTitleDeleted val="0"/>
    <c:plotArea>
      <c:layout>
        <c:manualLayout>
          <c:layoutTarget val="inner"/>
          <c:xMode val="edge"/>
          <c:yMode val="edge"/>
          <c:x val="0.0900357758049556"/>
          <c:y val="0.200339035290492"/>
          <c:w val="0.819067179011528"/>
          <c:h val="0.559254122360918"/>
        </c:manualLayout>
      </c:layout>
      <c:barChart>
        <c:barDir val="col"/>
        <c:grouping val="stacked"/>
        <c:varyColors val="0"/>
        <c:ser>
          <c:idx val="0"/>
          <c:order val="0"/>
          <c:tx>
            <c:strRef>
              <c:f>"Annual NOI ($M)"</c:f>
              <c:strCache>
                <c:ptCount val="1"/>
                <c:pt idx="0">
                  <c:v>Annual NOI ($M)</c:v>
                </c:pt>
              </c:strCache>
            </c:strRef>
          </c:tx>
          <c:spPr>
            <a:solidFill>
              <a:srgbClr val="a31f34"/>
            </a:solidFill>
            <a:ln w="0">
              <a:noFill/>
            </a:ln>
          </c:spPr>
          <c:invertIfNegative val="0"/>
          <c:dPt>
            <c:idx val="1"/>
            <c:invertIfNegative val="0"/>
            <c:spPr>
              <a:solidFill>
                <a:srgbClr val="a31f34"/>
              </a:solidFill>
              <a:ln w="0">
                <a:noFill/>
              </a:ln>
            </c:spPr>
          </c:dPt>
          <c:dPt>
            <c:idx val="2"/>
            <c:invertIfNegative val="0"/>
            <c:spPr>
              <a:solidFill>
                <a:srgbClr val="a31f34"/>
              </a:solidFill>
              <a:ln w="0">
                <a:noFill/>
              </a:ln>
            </c:spPr>
          </c:dPt>
          <c:dPt>
            <c:idx val="3"/>
            <c:invertIfNegative val="0"/>
            <c:spPr>
              <a:solidFill>
                <a:srgbClr val="a31f34"/>
              </a:solidFill>
              <a:ln w="0">
                <a:noFill/>
              </a:ln>
            </c:spPr>
          </c:dPt>
          <c:dPt>
            <c:idx val="4"/>
            <c:invertIfNegative val="0"/>
            <c:spPr>
              <a:solidFill>
                <a:srgbClr val="a31f34"/>
              </a:solidFill>
              <a:ln w="0">
                <a:noFill/>
              </a:ln>
            </c:spPr>
          </c:dPt>
          <c:dPt>
            <c:idx val="5"/>
            <c:invertIfNegative val="0"/>
            <c:spPr>
              <a:solidFill>
                <a:srgbClr val="a31f34"/>
              </a:solidFill>
              <a:ln w="0">
                <a:noFill/>
              </a:ln>
            </c:spPr>
          </c:dPt>
          <c:dPt>
            <c:idx val="6"/>
            <c:invertIfNegative val="0"/>
            <c:spPr>
              <a:solidFill>
                <a:srgbClr val="a31f34"/>
              </a:solidFill>
              <a:ln w="0">
                <a:noFill/>
              </a:ln>
            </c:spPr>
          </c:dPt>
          <c:dPt>
            <c:idx val="7"/>
            <c:invertIfNegative val="0"/>
            <c:spPr>
              <a:solidFill>
                <a:srgbClr val="a31f34"/>
              </a:solidFill>
              <a:ln w="0">
                <a:noFill/>
              </a:ln>
            </c:spPr>
          </c:dPt>
          <c:dPt>
            <c:idx val="8"/>
            <c:invertIfNegative val="0"/>
            <c:spPr>
              <a:solidFill>
                <a:srgbClr val="a31f34"/>
              </a:solidFill>
              <a:ln w="0">
                <a:noFill/>
              </a:ln>
            </c:spPr>
          </c:dPt>
          <c:dPt>
            <c:idx val="9"/>
            <c:invertIfNegative val="0"/>
            <c:spPr>
              <a:solidFill>
                <a:srgbClr val="a31f34"/>
              </a:solidFill>
              <a:ln w="0">
                <a:noFill/>
              </a:ln>
            </c:spPr>
          </c:dPt>
          <c:dLbls>
            <c:dLbl>
              <c:idx val="0"/>
              <c:delete val="1"/>
            </c:dLbl>
            <c:dLbl>
              <c:idx val="1"/>
              <c:layout>
                <c:manualLayout>
                  <c:x val="0"/>
                  <c:y val="-0.06"/>
                </c:manualLayout>
              </c:layout>
              <c:spPr/>
              <c:txPr>
                <a:bodyPr/>
                <a:lstStyle/>
                <a:p>
                  <a:pPr>
                    <a:defRPr sz="1000" b="1">
                      <a:solidFill>
                        <a:srgbClr val="A31F34"/>
                      </a:solidFill>
                    </a:defRPr>
                  </a:pPr>
                  <a:endParaRPr lang="en-US"/>
                </a:p>
              </c:txPr>
              <c:dLblPos val="inEnd"/>
              <c:showLegendKey val="0"/>
              <c:showVal val="0"/>
              <c:showCatName val="0"/>
              <c:showSerName val="0"/>
              <c:showPercent val="0"/>
              <c:showBubbleSize val="0"/>
              <c:separator>; </c:separator>
              <c:extLst>
                <c:ext xmlns:c15="http://schemas.microsoft.com/office/drawing/2012/chart" uri="{CE6537A1-D6FC-4f65-9D91-7224C49458BB}">
                  <c15:showDataLabelsRange val="1"/>
                </c:ext>
              </c:extLst>
            </c:dLbl>
            <c:dLbl>
              <c:idx val="2"/>
              <c:layout>
                <c:manualLayout>
                  <c:x val="0"/>
                  <c:y val="-0.06"/>
                </c:manualLayout>
              </c:layout>
              <c:spPr/>
              <c:txPr>
                <a:bodyPr/>
                <a:lstStyle/>
                <a:p>
                  <a:pPr>
                    <a:defRPr sz="1000" b="1">
                      <a:solidFill>
                        <a:srgbClr val="A31F34"/>
                      </a:solidFill>
                    </a:defRPr>
                  </a:pPr>
                  <a:endParaRPr lang="en-US"/>
                </a:p>
              </c:txPr>
              <c:dLblPos val="inEnd"/>
              <c:showLegendKey val="0"/>
              <c:showVal val="0"/>
              <c:showCatName val="0"/>
              <c:showSerName val="0"/>
              <c:showPercent val="0"/>
              <c:showBubbleSize val="0"/>
              <c:separator>; </c:separator>
              <c:extLst>
                <c:ext xmlns:c15="http://schemas.microsoft.com/office/drawing/2012/chart" uri="{CE6537A1-D6FC-4f65-9D91-7224C49458BB}">
                  <c15:showDataLabelsRange val="1"/>
                </c:ext>
              </c:extLst>
            </c:dLbl>
            <c:dLbl>
              <c:idx val="3"/>
              <c:layout>
                <c:manualLayout>
                  <c:x val="0"/>
                  <c:y val="-0.06"/>
                </c:manualLayout>
              </c:layout>
              <c:spPr/>
              <c:txPr>
                <a:bodyPr/>
                <a:lstStyle/>
                <a:p>
                  <a:pPr>
                    <a:defRPr sz="1000" b="1">
                      <a:solidFill>
                        <a:srgbClr val="A31F34"/>
                      </a:solidFill>
                    </a:defRPr>
                  </a:pPr>
                  <a:endParaRPr lang="en-US"/>
                </a:p>
              </c:txPr>
              <c:dLblPos val="inEnd"/>
              <c:showLegendKey val="0"/>
              <c:showVal val="0"/>
              <c:showCatName val="0"/>
              <c:showSerName val="0"/>
              <c:showPercent val="0"/>
              <c:showBubbleSize val="0"/>
              <c:separator>; </c:separator>
              <c:extLst>
                <c:ext xmlns:c15="http://schemas.microsoft.com/office/drawing/2012/chart" uri="{CE6537A1-D6FC-4f65-9D91-7224C49458BB}">
                  <c15:showDataLabelsRange val="1"/>
                </c:ext>
              </c:extLst>
            </c:dLbl>
            <c:dLbl>
              <c:idx val="4"/>
              <c:layout>
                <c:manualLayout>
                  <c:x val="0"/>
                  <c:y val="-0.06"/>
                </c:manualLayout>
              </c:layout>
              <c:spPr/>
              <c:txPr>
                <a:bodyPr/>
                <a:lstStyle/>
                <a:p>
                  <a:pPr>
                    <a:defRPr sz="1000" b="1">
                      <a:solidFill>
                        <a:srgbClr val="A31F34"/>
                      </a:solidFill>
                    </a:defRPr>
                  </a:pPr>
                  <a:endParaRPr lang="en-US"/>
                </a:p>
              </c:txPr>
              <c:dLblPos val="inEnd"/>
              <c:showLegendKey val="0"/>
              <c:showVal val="0"/>
              <c:showCatName val="0"/>
              <c:showSerName val="0"/>
              <c:showPercent val="0"/>
              <c:showBubbleSize val="0"/>
              <c:separator>; </c:separator>
              <c:extLst>
                <c:ext xmlns:c15="http://schemas.microsoft.com/office/drawing/2012/chart" uri="{CE6537A1-D6FC-4f65-9D91-7224C49458BB}">
                  <c15:showDataLabelsRange val="1"/>
                </c:ext>
              </c:extLst>
            </c:dLbl>
            <c:dLbl>
              <c:idx val="5"/>
              <c:layout>
                <c:manualLayout>
                  <c:x val="0"/>
                  <c:y val="-0.06"/>
                </c:manualLayout>
              </c:layout>
              <c:spPr/>
              <c:txPr>
                <a:bodyPr/>
                <a:lstStyle/>
                <a:p>
                  <a:pPr>
                    <a:defRPr sz="1000" b="1">
                      <a:solidFill>
                        <a:srgbClr val="A31F34"/>
                      </a:solidFill>
                    </a:defRPr>
                  </a:pPr>
                  <a:endParaRPr lang="en-US"/>
                </a:p>
              </c:txPr>
              <c:dLblPos val="inEnd"/>
              <c:showLegendKey val="0"/>
              <c:showVal val="0"/>
              <c:showCatName val="0"/>
              <c:showSerName val="0"/>
              <c:showPercent val="0"/>
              <c:showBubbleSize val="0"/>
              <c:separator>; </c:separator>
              <c:extLst>
                <c:ext xmlns:c15="http://schemas.microsoft.com/office/drawing/2012/chart" uri="{CE6537A1-D6FC-4f65-9D91-7224C49458BB}">
                  <c15:showDataLabelsRange val="1"/>
                </c:ext>
              </c:extLst>
            </c:dLbl>
            <c:dLbl>
              <c:idx val="6"/>
              <c:layout>
                <c:manualLayout>
                  <c:x val="0"/>
                  <c:y val="-0.06"/>
                </c:manualLayout>
              </c:layout>
              <c:spPr/>
              <c:txPr>
                <a:bodyPr/>
                <a:lstStyle/>
                <a:p>
                  <a:pPr>
                    <a:defRPr sz="1000" b="1">
                      <a:solidFill>
                        <a:srgbClr val="A31F34"/>
                      </a:solidFill>
                    </a:defRPr>
                  </a:pPr>
                  <a:endParaRPr lang="en-US"/>
                </a:p>
              </c:txPr>
              <c:dLblPos val="inEnd"/>
              <c:showLegendKey val="0"/>
              <c:showVal val="0"/>
              <c:showCatName val="0"/>
              <c:showSerName val="0"/>
              <c:showPercent val="0"/>
              <c:showBubbleSize val="0"/>
              <c:separator>; </c:separator>
              <c:extLst>
                <c:ext xmlns:c15="http://schemas.microsoft.com/office/drawing/2012/chart" uri="{CE6537A1-D6FC-4f65-9D91-7224C49458BB}">
                  <c15:showDataLabelsRange val="1"/>
                </c:ext>
              </c:extLst>
            </c:dLbl>
            <c:dLbl>
              <c:idx val="7"/>
              <c:layout>
                <c:manualLayout>
                  <c:x val="0"/>
                  <c:y val="-0.06"/>
                </c:manualLayout>
              </c:layout>
              <c:spPr/>
              <c:txPr>
                <a:bodyPr/>
                <a:lstStyle/>
                <a:p>
                  <a:pPr>
                    <a:defRPr sz="1000" b="1">
                      <a:solidFill>
                        <a:srgbClr val="A31F34"/>
                      </a:solidFill>
                    </a:defRPr>
                  </a:pPr>
                  <a:endParaRPr lang="en-US"/>
                </a:p>
              </c:txPr>
              <c:dLblPos val="inEnd"/>
              <c:showLegendKey val="0"/>
              <c:showVal val="0"/>
              <c:showCatName val="0"/>
              <c:showSerName val="0"/>
              <c:showPercent val="0"/>
              <c:showBubbleSize val="0"/>
              <c:separator>; </c:separator>
              <c:extLst>
                <c:ext xmlns:c15="http://schemas.microsoft.com/office/drawing/2012/chart" uri="{CE6537A1-D6FC-4f65-9D91-7224C49458BB}">
                  <c15:showDataLabelsRange val="1"/>
                </c:ext>
              </c:extLst>
            </c:dLbl>
            <c:dLbl>
              <c:idx val="8"/>
              <c:layout>
                <c:manualLayout>
                  <c:x val="0"/>
                  <c:y val="-0.06"/>
                </c:manualLayout>
              </c:layout>
              <c:spPr/>
              <c:txPr>
                <a:bodyPr/>
                <a:lstStyle/>
                <a:p>
                  <a:pPr>
                    <a:defRPr sz="1000" b="1">
                      <a:solidFill>
                        <a:srgbClr val="A31F34"/>
                      </a:solidFill>
                    </a:defRPr>
                  </a:pPr>
                  <a:endParaRPr lang="en-US"/>
                </a:p>
              </c:txPr>
              <c:dLblPos val="inEnd"/>
              <c:showLegendKey val="0"/>
              <c:showVal val="0"/>
              <c:showCatName val="0"/>
              <c:showSerName val="0"/>
              <c:showPercent val="0"/>
              <c:showBubbleSize val="0"/>
              <c:separator>; </c:separator>
              <c:extLst>
                <c:ext xmlns:c15="http://schemas.microsoft.com/office/drawing/2012/chart" uri="{CE6537A1-D6FC-4f65-9D91-7224C49458BB}">
                  <c15:showDataLabelsRange val="1"/>
                </c:ext>
              </c:extLst>
            </c:dLbl>
            <c:dLbl>
              <c:idx val="9"/>
              <c:layout>
                <c:manualLayout>
                  <c:x val="0"/>
                  <c:y val="-0.06"/>
                </c:manualLayout>
              </c:layout>
              <c:spPr/>
              <c:txPr>
                <a:bodyPr/>
                <a:lstStyle/>
                <a:p>
                  <a:pPr>
                    <a:defRPr sz="1000" b="1">
                      <a:solidFill>
                        <a:srgbClr val="A31F34"/>
                      </a:solidFill>
                    </a:defRPr>
                  </a:pPr>
                  <a:endParaRPr lang="en-US"/>
                </a:p>
              </c:txPr>
              <c:dLblPos val="inEnd"/>
              <c:showLegendKey val="0"/>
              <c:showVal val="0"/>
              <c:showCatName val="0"/>
              <c:showSerName val="0"/>
              <c:showPercent val="0"/>
              <c:showBubbleSize val="0"/>
              <c:separator>; </c:separator>
              <c:extLst>
                <c:ext xmlns:c15="http://schemas.microsoft.com/office/drawing/2012/chart" uri="{CE6537A1-D6FC-4f65-9D91-7224C49458BB}">
                  <c15:showDataLabelsRange val="1"/>
                </c:ext>
              </c:extLst>
            </c:dLbl>
            <c:spPr>
              <a:noFill/>
              <a:ln>
                <a:noFill/>
              </a:ln>
            </c:spPr>
            <c:txPr>
              <a:bodyPr/>
              <a:lstStyle/>
              <a:p>
                <a:pPr>
                  <a:defRPr sz="1000" b="1">
                    <a:solidFill>
                      <a:srgbClr val="A31F34"/>
                    </a:solidFill>
                  </a:defRPr>
                </a:pPr>
                <a:endParaRPr lang="en-US"/>
              </a:p>
            </c:txPr>
            <c:dLblPos val="inEnd"/>
            <c:showLegendKey val="0"/>
            <c:showVal val="0"/>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'Composite vs Market'!$A$4:$A$13</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f>'Composite vs Market'!$L$4:$L$13</c:f>
              <c:numCache>
                <c:formatCode>#,##0</c:formatCode>
                <c:ptCount val="10"/>
                <c:pt idx="0">
                  <c:v>1165.3982136287</c:v>
                </c:pt>
                <c:pt idx="1">
                  <c:v>1188.64642526213</c:v>
                </c:pt>
                <c:pt idx="2">
                  <c:v>1259.46329072199</c:v>
                </c:pt>
                <c:pt idx="3">
                  <c:v>1343.97396319532</c:v>
                </c:pt>
                <c:pt idx="4">
                  <c:v>1270.10752820718</c:v>
                </c:pt>
                <c:pt idx="5">
                  <c:v>1340.0965239163</c:v>
                </c:pt>
                <c:pt idx="6">
                  <c:v>1456.10309964368</c:v>
                </c:pt>
                <c:pt idx="7">
                  <c:v>1553.93901275868</c:v>
                </c:pt>
                <c:pt idx="8">
                  <c:v>1509.83974407045</c:v>
                </c:pt>
                <c:pt idx="9">
                  <c:v>1521.68820971578</c:v>
                </c:pt>
              </c:numCache>
            </c:numRef>
          </c:val>
          <c:extLst>
            <c:ext xmlns:c15="http://schemas.microsoft.com/office/drawing/2012/chart" uri="{02D57815-91ED-43cb-92C2-25804820EDAC}">
              <c15:datalabelsRange>
                <c15:f>'Composite vs Market'!$AE$4:$AE$13</c15:f>
                <c15:dlblRangeCache>
                  <c:ptCount val="10"/>
                  <c:pt idx="1">
                    <c:v>+2%</c:v>
                  </c:pt>
                  <c:pt idx="2">
                    <c:v>+6%</c:v>
                  </c:pt>
                  <c:pt idx="3">
                    <c:v>+7%</c:v>
                  </c:pt>
                  <c:pt idx="4">
                    <c:v>-5%</c:v>
                  </c:pt>
                  <c:pt idx="5">
                    <c:v>+6%</c:v>
                  </c:pt>
                  <c:pt idx="6">
                    <c:v>+9%</c:v>
                  </c:pt>
                  <c:pt idx="7">
                    <c:v>+7%</c:v>
                  </c:pt>
                  <c:pt idx="8">
                    <c:v>-3%</c:v>
                  </c:pt>
                  <c:pt idx="9">
                    <c:v>+1%</c:v>
                  </c:pt>
                </c15:dlblRangeCache>
              </c15:datalabelsRange>
            </c:ext>
          </c:extLst>
        </c:ser>
        <c:ser>
          <c:idx val="1"/>
          <c:order val="1"/>
          <c:tx>
            <c:strRef>
              <c:f>"Stabilized TEV less NOI ($M)"</c:f>
              <c:strCache>
                <c:ptCount val="1"/>
                <c:pt idx="0">
                  <c:v>Stabilized TEV less NOI ($M)</c:v>
                </c:pt>
              </c:strCache>
            </c:strRef>
          </c:tx>
          <c:spPr>
            <a:solidFill>
              <a:srgbClr val="d9d9d9"/>
            </a:solidFill>
            <a:ln w="0">
              <a:noFill/>
            </a:ln>
          </c:spPr>
          <c:invertIfNegative val="0"/>
          <c:dLbls>
            <c:txPr>
              <a:bodyPr wrap="square"/>
              <a:lstStyle/>
              <a:p>
                <a:pPr>
                  <a:defRPr b="0" sz="1000" spc="-1" strike="noStrike">
                    <a:solidFill>
                      <a:srgbClr val="000000"/>
                    </a:solidFill>
                    <a:latin typeface="Calibri"/>
                  </a:defRPr>
                </a:pPr>
              </a:p>
            </c:txPr>
            <c:dLblPos val="ctr"/>
            <c:showLegendKey val="0"/>
            <c:showVal val="0"/>
            <c:showCatName val="0"/>
            <c:showSerName val="0"/>
            <c:showPercent val="0"/>
            <c:separator>; </c:separator>
            <c:showLeaderLines val="0"/>
            <c:extLst>
              <c:ext xmlns:c15="http://schemas.microsoft.com/office/drawing/2012/chart" uri="{CE6537A1-D6FC-4f65-9D91-7224C49458BB}">
                <c15:showLeaderLines val="0"/>
              </c:ext>
            </c:extLst>
          </c:dLbls>
          <c:cat>
            <c:strRef>
              <c:f>'Composite vs Market'!$A$4:$A$13</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f>'Composite vs Market'!$Q$4:$Q$13</c:f>
              <c:numCache>
                <c:formatCode>#,##0</c:formatCode>
                <c:ptCount val="10"/>
                <c:pt idx="0">
                  <c:v>21673.9261211651</c:v>
                </c:pt>
                <c:pt idx="1">
                  <c:v>22675.1196555456</c:v>
                </c:pt>
                <c:pt idx="2">
                  <c:v>22001.4120555995</c:v>
                </c:pt>
                <c:pt idx="3">
                  <c:v>24923.9232231612</c:v>
                </c:pt>
                <c:pt idx="4">
                  <c:v>20133.0134383328</c:v>
                </c:pt>
                <c:pt idx="5">
                  <c:v>22470.5453921728</c:v>
                </c:pt>
                <c:pt idx="6">
                  <c:v>17590.2751929919</c:v>
                </c:pt>
                <c:pt idx="7">
                  <c:v>19210.8653552559</c:v>
                </c:pt>
                <c:pt idx="8">
                  <c:v>19424.0740130413</c:v>
                </c:pt>
                <c:pt idx="9">
                  <c:v>18297.971599659</c:v>
                </c:pt>
              </c:numCache>
            </c:numRef>
          </c:val>
        </c:ser>
        <c:gapWidth val="150"/>
        <c:overlap val="100"/>
        <c:axId val="64069803"/>
        <c:axId val="16434446"/>
      </c:barChart>
      <c:lineChart>
        <c:grouping val="stacked"/>
        <c:varyColors val="0"/>
        <c:ser>
          <c:idx val="2"/>
          <c:order val="2"/>
          <c:tx>
            <c:strRef>
              <c:f>"Gross NOI Multiple (right)"</c:f>
              <c:strCache>
                <c:ptCount val="1"/>
                <c:pt idx="0">
                  <c:v>Gross NOI Multiple (right)</c:v>
                </c:pt>
              </c:strCache>
            </c:strRef>
          </c:tx>
          <c:spPr>
            <a:solidFill>
              <a:srgbClr val="1f3b57"/>
            </a:solidFill>
            <a:ln w="28440">
              <a:solidFill>
                <a:srgbClr val="1f3b57"/>
              </a:solidFill>
              <a:round/>
            </a:ln>
          </c:spPr>
          <c:marker>
            <c:symbol val="circle"/>
            <c:size val="5"/>
            <c:spPr>
              <a:solidFill>
                <a:srgbClr val="1f3b57"/>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0"/>
            <c:extLst>
              <c:ext xmlns:c15="http://schemas.microsoft.com/office/drawing/2012/chart" uri="{CE6537A1-D6FC-4f65-9D91-7224C49458BB}">
                <c15:showLeaderLines val="0"/>
              </c:ext>
            </c:extLst>
          </c:dLbls>
          <c:cat>
            <c:strRef>
              <c:f>'Composite vs Market'!$A$4:$A$13</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f>'Composite vs Market'!$J$4:$J$13</c:f>
              <c:numCache>
                <c:formatCode>0.0\x</c:formatCode>
                <c:ptCount val="10"/>
                <c:pt idx="0">
                  <c:v>19.5978714122781</c:v>
                </c:pt>
                <c:pt idx="1">
                  <c:v>20.0764210227991</c:v>
                </c:pt>
                <c:pt idx="2">
                  <c:v>18.4688791786754</c:v>
                </c:pt>
                <c:pt idx="3">
                  <c:v>19.5449449957381</c:v>
                </c:pt>
                <c:pt idx="4">
                  <c:v>16.8514243803842</c:v>
                </c:pt>
                <c:pt idx="5">
                  <c:v>17.7678558903391</c:v>
                </c:pt>
                <c:pt idx="6">
                  <c:v>13.0803775483318</c:v>
                </c:pt>
                <c:pt idx="7">
                  <c:v>13.3626893961245</c:v>
                </c:pt>
                <c:pt idx="8">
                  <c:v>13.8649905324886</c:v>
                </c:pt>
                <c:pt idx="9">
                  <c:v>13.0247837124772</c:v>
                </c:pt>
              </c:numCache>
            </c:numRef>
          </c:val>
          <c:smooth val="0"/>
        </c:ser>
        <c:hiLowLines>
          <c:spPr>
            <a:ln w="0">
              <a:noFill/>
            </a:ln>
          </c:spPr>
        </c:hiLowLines>
        <c:marker val="1"/>
        <c:axId val="88768698"/>
        <c:axId val="88856472"/>
      </c:lineChart>
      <c:catAx>
        <c:axId val="64069803"/>
        <c:scaling>
          <c:orientation val="minMax"/>
        </c:scaling>
        <c:delete val="0"/>
        <c:axPos val="b"/>
        <c:numFmt formatCode="General" sourceLinked="0"/>
        <c:majorTickMark val="none"/>
        <c:minorTickMark val="none"/>
        <c:tickLblPos val="low"/>
        <c:spPr>
          <a:ln w="0">
            <a:solidFill>
              <a:srgbClr val="b3b3b3"/>
            </a:solidFill>
          </a:ln>
        </c:spPr>
        <c:txPr>
          <a:bodyPr/>
          <a:lstStyle/>
          <a:p>
            <a:pPr>
              <a:defRPr b="0" sz="1000" spc="-1" strike="noStrike">
                <a:solidFill>
                  <a:srgbClr val="000000"/>
                </a:solidFill>
                <a:latin typeface="Calibri"/>
              </a:defRPr>
            </a:pPr>
          </a:p>
        </c:txPr>
        <c:crossAx val="16434446"/>
        <c:crosses val="autoZero"/>
        <c:auto val="1"/>
        <c:lblAlgn val="ctr"/>
        <c:lblOffset val="100"/>
        <c:noMultiLvlLbl val="0"/>
      </c:catAx>
      <c:valAx>
        <c:axId val="16434446"/>
        <c:scaling>
          <c:orientation val="minMax"/>
          <c:min val="0"/>
        </c:scaling>
        <c:delete val="0"/>
        <c:axPos val="l"/>
        <c:majorGridlines>
          <c:spPr>
            <a:ln w="0">
              <a:solidFill>
                <a:srgbClr val="b3b3b3"/>
              </a:solidFill>
            </a:ln>
          </c:spPr>
        </c:majorGridlines>
        <c:numFmt formatCode="#,##0"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64069803"/>
        <c:crosses val="autoZero"/>
        <c:crossBetween val="between"/>
      </c:valAx>
      <c:catAx>
        <c:axId val="88768698"/>
        <c:scaling>
          <c:orientation val="minMax"/>
        </c:scaling>
        <c:delete val="1"/>
        <c:axPos val="t"/>
        <c:numFmt formatCode="General" sourceLinked="1"/>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88856472"/>
        <c:auto val="1"/>
        <c:lblAlgn val="ctr"/>
        <c:lblOffset val="100"/>
        <c:noMultiLvlLbl val="0"/>
      </c:catAx>
      <c:valAx>
        <c:axId val="88856472"/>
        <c:scaling>
          <c:orientation val="minMax"/>
        </c:scaling>
        <c:delete val="0"/>
        <c:axPos val="r"/>
        <c:numFmt formatCode="0.0\x"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88768698"/>
        <c:crosses val="max"/>
        <c:crossBetween val="between"/>
      </c:valAx>
      <c:spPr>
        <a:noFill/>
        <a:ln w="0">
          <a:noFill/>
        </a:ln>
      </c:spPr>
    </c:plotArea>
    <c:legend>
      <c:legendPos val="b"/>
      <c:overlay val="0"/>
      <c:spPr>
        <a:noFill/>
        <a:ln w="0">
          <a:noFill/>
        </a:ln>
      </c:spPr>
      <c:txPr>
        <a:bodyPr/>
        <a:lstStyle/>
        <a:p>
          <a:pPr>
            <a:defRPr b="0" sz="1000" spc="-1" strike="noStrike">
              <a:solidFill>
                <a:srgbClr val="000000"/>
              </a:solidFill>
              <a:latin typeface="Calibri"/>
            </a:defRPr>
          </a:pPr>
        </a:p>
      </c:txPr>
    </c:legend>
    <c:plotVisOnly val="1"/>
    <c:dispBlanksAs val="gap"/>
  </c:chart>
  <c:spPr>
    <a:solidFill>
      <a:srgbClr val="ffffff"/>
    </a:solidFill>
    <a:ln w="9360">
      <a:solidFill>
        <a:srgbClr val="d9d9d9"/>
      </a:solidFill>
      <a:round/>
    </a:ln>
  </c:spPr>
</c:chartSpace>
</file>

<file path=xl/charts/chart46.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lang="en-US" sz="1200" spc="-1" strike="noStrike">
                <a:solidFill>
                  <a:srgbClr val="000000"/>
                </a:solidFill>
                <a:latin typeface="Calibri"/>
              </a:defRPr>
            </a:pPr>
            <a:r>
              <a:rPr b="1" lang="en-US" sz="1200" spc="-1" strike="noStrike">
                <a:solidFill>
                  <a:srgbClr val="000000"/>
                </a:solidFill>
                <a:latin typeface="Calibri"/>
              </a:rPr>
              <a:t>Leveraged Cash Flow (labeled YoY growth) and Stabilized Market Cap: Leveraged NOI Multiple (2016-2025)</a:t>
            </a:r>
          </a:p>
        </c:rich>
      </c:tx>
      <c:overlay val="0"/>
      <c:spPr>
        <a:noFill/>
        <a:ln w="0">
          <a:noFill/>
        </a:ln>
      </c:spPr>
    </c:title>
    <c:autoTitleDeleted val="0"/>
    <c:plotArea>
      <c:layout>
        <c:manualLayout>
          <c:layoutTarget val="inner"/>
          <c:xMode val="edge"/>
          <c:yMode val="edge"/>
          <c:x val="0.0900357758049556"/>
          <c:y val="0.200339035290492"/>
          <c:w val="0.819067179011528"/>
          <c:h val="0.559254122360918"/>
        </c:manualLayout>
      </c:layout>
      <c:barChart>
        <c:barDir val="col"/>
        <c:grouping val="stacked"/>
        <c:varyColors val="0"/>
        <c:ser>
          <c:idx val="0"/>
          <c:order val="0"/>
          <c:tx>
            <c:strRef>
              <c:f>"Leveraged Property Cash Flow ($M)"</c:f>
              <c:strCache>
                <c:ptCount val="1"/>
                <c:pt idx="0">
                  <c:v>Leveraged Property Cash Flow ($M)</c:v>
                </c:pt>
              </c:strCache>
            </c:strRef>
          </c:tx>
          <c:spPr>
            <a:solidFill>
              <a:srgbClr val="a31f34"/>
            </a:solidFill>
            <a:ln w="0">
              <a:noFill/>
            </a:ln>
          </c:spPr>
          <c:invertIfNegative val="0"/>
          <c:dPt>
            <c:idx val="1"/>
            <c:invertIfNegative val="0"/>
            <c:spPr>
              <a:solidFill>
                <a:srgbClr val="a31f34"/>
              </a:solidFill>
              <a:ln w="0">
                <a:noFill/>
              </a:ln>
            </c:spPr>
          </c:dPt>
          <c:dPt>
            <c:idx val="2"/>
            <c:invertIfNegative val="0"/>
            <c:spPr>
              <a:solidFill>
                <a:srgbClr val="a31f34"/>
              </a:solidFill>
              <a:ln w="0">
                <a:noFill/>
              </a:ln>
            </c:spPr>
          </c:dPt>
          <c:dPt>
            <c:idx val="3"/>
            <c:invertIfNegative val="0"/>
            <c:spPr>
              <a:solidFill>
                <a:srgbClr val="a31f34"/>
              </a:solidFill>
              <a:ln w="0">
                <a:noFill/>
              </a:ln>
            </c:spPr>
          </c:dPt>
          <c:dPt>
            <c:idx val="4"/>
            <c:invertIfNegative val="0"/>
            <c:spPr>
              <a:solidFill>
                <a:srgbClr val="a31f34"/>
              </a:solidFill>
              <a:ln w="0">
                <a:noFill/>
              </a:ln>
            </c:spPr>
          </c:dPt>
          <c:dPt>
            <c:idx val="5"/>
            <c:invertIfNegative val="0"/>
            <c:spPr>
              <a:solidFill>
                <a:srgbClr val="a31f34"/>
              </a:solidFill>
              <a:ln w="0">
                <a:noFill/>
              </a:ln>
            </c:spPr>
          </c:dPt>
          <c:dPt>
            <c:idx val="6"/>
            <c:invertIfNegative val="0"/>
            <c:spPr>
              <a:solidFill>
                <a:srgbClr val="a31f34"/>
              </a:solidFill>
              <a:ln w="0">
                <a:noFill/>
              </a:ln>
            </c:spPr>
          </c:dPt>
          <c:dPt>
            <c:idx val="7"/>
            <c:invertIfNegative val="0"/>
            <c:spPr>
              <a:solidFill>
                <a:srgbClr val="a31f34"/>
              </a:solidFill>
              <a:ln w="0">
                <a:noFill/>
              </a:ln>
            </c:spPr>
          </c:dPt>
          <c:dPt>
            <c:idx val="8"/>
            <c:invertIfNegative val="0"/>
            <c:spPr>
              <a:solidFill>
                <a:srgbClr val="a31f34"/>
              </a:solidFill>
              <a:ln w="0">
                <a:noFill/>
              </a:ln>
            </c:spPr>
          </c:dPt>
          <c:dPt>
            <c:idx val="9"/>
            <c:invertIfNegative val="0"/>
            <c:spPr>
              <a:solidFill>
                <a:srgbClr val="a31f34"/>
              </a:solidFill>
              <a:ln w="0">
                <a:noFill/>
              </a:ln>
            </c:spPr>
          </c:dPt>
          <c:dLbls>
            <c:dLbl>
              <c:idx val="0"/>
              <c:delete val="1"/>
            </c:dLbl>
            <c:dLbl>
              <c:idx val="1"/>
              <c:layout>
                <c:manualLayout>
                  <c:x val="0"/>
                  <c:y val="-0.06"/>
                </c:manualLayout>
              </c:layout>
              <c:spPr/>
              <c:txPr>
                <a:bodyPr/>
                <a:lstStyle/>
                <a:p>
                  <a:pPr>
                    <a:defRPr sz="1000" b="1">
                      <a:solidFill>
                        <a:srgbClr val="A31F34"/>
                      </a:solidFill>
                    </a:defRPr>
                  </a:pPr>
                  <a:endParaRPr lang="en-US"/>
                </a:p>
              </c:txPr>
              <c:dLblPos val="inEnd"/>
              <c:showLegendKey val="0"/>
              <c:showVal val="0"/>
              <c:showCatName val="0"/>
              <c:showSerName val="0"/>
              <c:showPercent val="0"/>
              <c:showBubbleSize val="0"/>
              <c:separator>; </c:separator>
              <c:extLst>
                <c:ext xmlns:c15="http://schemas.microsoft.com/office/drawing/2012/chart" uri="{CE6537A1-D6FC-4f65-9D91-7224C49458BB}">
                  <c15:showDataLabelsRange val="1"/>
                </c:ext>
              </c:extLst>
            </c:dLbl>
            <c:dLbl>
              <c:idx val="2"/>
              <c:layout>
                <c:manualLayout>
                  <c:x val="0"/>
                  <c:y val="-0.06"/>
                </c:manualLayout>
              </c:layout>
              <c:spPr/>
              <c:txPr>
                <a:bodyPr/>
                <a:lstStyle/>
                <a:p>
                  <a:pPr>
                    <a:defRPr sz="1000" b="1">
                      <a:solidFill>
                        <a:srgbClr val="A31F34"/>
                      </a:solidFill>
                    </a:defRPr>
                  </a:pPr>
                  <a:endParaRPr lang="en-US"/>
                </a:p>
              </c:txPr>
              <c:dLblPos val="inEnd"/>
              <c:showLegendKey val="0"/>
              <c:showVal val="0"/>
              <c:showCatName val="0"/>
              <c:showSerName val="0"/>
              <c:showPercent val="0"/>
              <c:showBubbleSize val="0"/>
              <c:separator>; </c:separator>
              <c:extLst>
                <c:ext xmlns:c15="http://schemas.microsoft.com/office/drawing/2012/chart" uri="{CE6537A1-D6FC-4f65-9D91-7224C49458BB}">
                  <c15:showDataLabelsRange val="1"/>
                </c:ext>
              </c:extLst>
            </c:dLbl>
            <c:dLbl>
              <c:idx val="3"/>
              <c:layout>
                <c:manualLayout>
                  <c:x val="0"/>
                  <c:y val="-0.06"/>
                </c:manualLayout>
              </c:layout>
              <c:spPr/>
              <c:txPr>
                <a:bodyPr/>
                <a:lstStyle/>
                <a:p>
                  <a:pPr>
                    <a:defRPr sz="1000" b="1">
                      <a:solidFill>
                        <a:srgbClr val="A31F34"/>
                      </a:solidFill>
                    </a:defRPr>
                  </a:pPr>
                  <a:endParaRPr lang="en-US"/>
                </a:p>
              </c:txPr>
              <c:dLblPos val="inEnd"/>
              <c:showLegendKey val="0"/>
              <c:showVal val="0"/>
              <c:showCatName val="0"/>
              <c:showSerName val="0"/>
              <c:showPercent val="0"/>
              <c:showBubbleSize val="0"/>
              <c:separator>; </c:separator>
              <c:extLst>
                <c:ext xmlns:c15="http://schemas.microsoft.com/office/drawing/2012/chart" uri="{CE6537A1-D6FC-4f65-9D91-7224C49458BB}">
                  <c15:showDataLabelsRange val="1"/>
                </c:ext>
              </c:extLst>
            </c:dLbl>
            <c:dLbl>
              <c:idx val="4"/>
              <c:layout>
                <c:manualLayout>
                  <c:x val="0"/>
                  <c:y val="-0.06"/>
                </c:manualLayout>
              </c:layout>
              <c:spPr/>
              <c:txPr>
                <a:bodyPr/>
                <a:lstStyle/>
                <a:p>
                  <a:pPr>
                    <a:defRPr sz="1000" b="1">
                      <a:solidFill>
                        <a:srgbClr val="A31F34"/>
                      </a:solidFill>
                    </a:defRPr>
                  </a:pPr>
                  <a:endParaRPr lang="en-US"/>
                </a:p>
              </c:txPr>
              <c:dLblPos val="inEnd"/>
              <c:showLegendKey val="0"/>
              <c:showVal val="0"/>
              <c:showCatName val="0"/>
              <c:showSerName val="0"/>
              <c:showPercent val="0"/>
              <c:showBubbleSize val="0"/>
              <c:separator>; </c:separator>
              <c:extLst>
                <c:ext xmlns:c15="http://schemas.microsoft.com/office/drawing/2012/chart" uri="{CE6537A1-D6FC-4f65-9D91-7224C49458BB}">
                  <c15:showDataLabelsRange val="1"/>
                </c:ext>
              </c:extLst>
            </c:dLbl>
            <c:dLbl>
              <c:idx val="5"/>
              <c:layout>
                <c:manualLayout>
                  <c:x val="0"/>
                  <c:y val="-0.06"/>
                </c:manualLayout>
              </c:layout>
              <c:spPr/>
              <c:txPr>
                <a:bodyPr/>
                <a:lstStyle/>
                <a:p>
                  <a:pPr>
                    <a:defRPr sz="1000" b="1">
                      <a:solidFill>
                        <a:srgbClr val="A31F34"/>
                      </a:solidFill>
                    </a:defRPr>
                  </a:pPr>
                  <a:endParaRPr lang="en-US"/>
                </a:p>
              </c:txPr>
              <c:dLblPos val="inEnd"/>
              <c:showLegendKey val="0"/>
              <c:showVal val="0"/>
              <c:showCatName val="0"/>
              <c:showSerName val="0"/>
              <c:showPercent val="0"/>
              <c:showBubbleSize val="0"/>
              <c:separator>; </c:separator>
              <c:extLst>
                <c:ext xmlns:c15="http://schemas.microsoft.com/office/drawing/2012/chart" uri="{CE6537A1-D6FC-4f65-9D91-7224C49458BB}">
                  <c15:showDataLabelsRange val="1"/>
                </c:ext>
              </c:extLst>
            </c:dLbl>
            <c:dLbl>
              <c:idx val="6"/>
              <c:layout>
                <c:manualLayout>
                  <c:x val="0"/>
                  <c:y val="-0.06"/>
                </c:manualLayout>
              </c:layout>
              <c:spPr/>
              <c:txPr>
                <a:bodyPr/>
                <a:lstStyle/>
                <a:p>
                  <a:pPr>
                    <a:defRPr sz="1000" b="1">
                      <a:solidFill>
                        <a:srgbClr val="A31F34"/>
                      </a:solidFill>
                    </a:defRPr>
                  </a:pPr>
                  <a:endParaRPr lang="en-US"/>
                </a:p>
              </c:txPr>
              <c:dLblPos val="inEnd"/>
              <c:showLegendKey val="0"/>
              <c:showVal val="0"/>
              <c:showCatName val="0"/>
              <c:showSerName val="0"/>
              <c:showPercent val="0"/>
              <c:showBubbleSize val="0"/>
              <c:separator>; </c:separator>
              <c:extLst>
                <c:ext xmlns:c15="http://schemas.microsoft.com/office/drawing/2012/chart" uri="{CE6537A1-D6FC-4f65-9D91-7224C49458BB}">
                  <c15:showDataLabelsRange val="1"/>
                </c:ext>
              </c:extLst>
            </c:dLbl>
            <c:dLbl>
              <c:idx val="7"/>
              <c:layout>
                <c:manualLayout>
                  <c:x val="0"/>
                  <c:y val="-0.06"/>
                </c:manualLayout>
              </c:layout>
              <c:spPr/>
              <c:txPr>
                <a:bodyPr/>
                <a:lstStyle/>
                <a:p>
                  <a:pPr>
                    <a:defRPr sz="1000" b="1">
                      <a:solidFill>
                        <a:srgbClr val="A31F34"/>
                      </a:solidFill>
                    </a:defRPr>
                  </a:pPr>
                  <a:endParaRPr lang="en-US"/>
                </a:p>
              </c:txPr>
              <c:dLblPos val="inEnd"/>
              <c:showLegendKey val="0"/>
              <c:showVal val="0"/>
              <c:showCatName val="0"/>
              <c:showSerName val="0"/>
              <c:showPercent val="0"/>
              <c:showBubbleSize val="0"/>
              <c:separator>; </c:separator>
              <c:extLst>
                <c:ext xmlns:c15="http://schemas.microsoft.com/office/drawing/2012/chart" uri="{CE6537A1-D6FC-4f65-9D91-7224C49458BB}">
                  <c15:showDataLabelsRange val="1"/>
                </c:ext>
              </c:extLst>
            </c:dLbl>
            <c:dLbl>
              <c:idx val="8"/>
              <c:layout>
                <c:manualLayout>
                  <c:x val="0"/>
                  <c:y val="-0.06"/>
                </c:manualLayout>
              </c:layout>
              <c:spPr/>
              <c:txPr>
                <a:bodyPr/>
                <a:lstStyle/>
                <a:p>
                  <a:pPr>
                    <a:defRPr sz="1000" b="1">
                      <a:solidFill>
                        <a:srgbClr val="A31F34"/>
                      </a:solidFill>
                    </a:defRPr>
                  </a:pPr>
                  <a:endParaRPr lang="en-US"/>
                </a:p>
              </c:txPr>
              <c:dLblPos val="inEnd"/>
              <c:showLegendKey val="0"/>
              <c:showVal val="0"/>
              <c:showCatName val="0"/>
              <c:showSerName val="0"/>
              <c:showPercent val="0"/>
              <c:showBubbleSize val="0"/>
              <c:separator>; </c:separator>
              <c:extLst>
                <c:ext xmlns:c15="http://schemas.microsoft.com/office/drawing/2012/chart" uri="{CE6537A1-D6FC-4f65-9D91-7224C49458BB}">
                  <c15:showDataLabelsRange val="1"/>
                </c:ext>
              </c:extLst>
            </c:dLbl>
            <c:dLbl>
              <c:idx val="9"/>
              <c:layout>
                <c:manualLayout>
                  <c:x val="0"/>
                  <c:y val="-0.06"/>
                </c:manualLayout>
              </c:layout>
              <c:spPr/>
              <c:txPr>
                <a:bodyPr/>
                <a:lstStyle/>
                <a:p>
                  <a:pPr>
                    <a:defRPr sz="1000" b="1">
                      <a:solidFill>
                        <a:srgbClr val="A31F34"/>
                      </a:solidFill>
                    </a:defRPr>
                  </a:pPr>
                  <a:endParaRPr lang="en-US"/>
                </a:p>
              </c:txPr>
              <c:dLblPos val="inEnd"/>
              <c:showLegendKey val="0"/>
              <c:showVal val="0"/>
              <c:showCatName val="0"/>
              <c:showSerName val="0"/>
              <c:showPercent val="0"/>
              <c:showBubbleSize val="0"/>
              <c:separator>; </c:separator>
              <c:extLst>
                <c:ext xmlns:c15="http://schemas.microsoft.com/office/drawing/2012/chart" uri="{CE6537A1-D6FC-4f65-9D91-7224C49458BB}">
                  <c15:showDataLabelsRange val="1"/>
                </c:ext>
              </c:extLst>
            </c:dLbl>
            <c:spPr>
              <a:noFill/>
              <a:ln>
                <a:noFill/>
              </a:ln>
            </c:spPr>
            <c:txPr>
              <a:bodyPr/>
              <a:lstStyle/>
              <a:p>
                <a:pPr>
                  <a:defRPr sz="1000" b="1">
                    <a:solidFill>
                      <a:srgbClr val="A31F34"/>
                    </a:solidFill>
                  </a:defRPr>
                </a:pPr>
                <a:endParaRPr lang="en-US"/>
              </a:p>
            </c:txPr>
            <c:dLblPos val="inEnd"/>
            <c:showLegendKey val="0"/>
            <c:showVal val="0"/>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'Composite vs Market'!$A$4:$A$13</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f>'Composite vs Market'!$N$4:$N$13</c:f>
              <c:numCache>
                <c:formatCode>#,##0</c:formatCode>
                <c:ptCount val="10"/>
                <c:pt idx="0">
                  <c:v>894.043706627625</c:v>
                </c:pt>
                <c:pt idx="1">
                  <c:v>918.418327824978</c:v>
                </c:pt>
                <c:pt idx="2">
                  <c:v>963.152879034413</c:v>
                </c:pt>
                <c:pt idx="3">
                  <c:v>1037.41576120015</c:v>
                </c:pt>
                <c:pt idx="4">
                  <c:v>948.585801887195</c:v>
                </c:pt>
                <c:pt idx="5">
                  <c:v>1025.30479906598</c:v>
                </c:pt>
                <c:pt idx="6">
                  <c:v>1105.41060127185</c:v>
                </c:pt>
                <c:pt idx="7">
                  <c:v>1078.8968853363</c:v>
                </c:pt>
                <c:pt idx="8">
                  <c:v>1017.41508227366</c:v>
                </c:pt>
                <c:pt idx="9">
                  <c:v>1021.04261486838</c:v>
                </c:pt>
              </c:numCache>
            </c:numRef>
          </c:val>
          <c:extLst>
            <c:ext xmlns:c15="http://schemas.microsoft.com/office/drawing/2012/chart" uri="{02D57815-91ED-43cb-92C2-25804820EDAC}">
              <c15:datalabelsRange>
                <c15:f>'Composite vs Market'!$AF$4:$AF$13</c15:f>
                <c15:dlblRangeCache>
                  <c:ptCount val="10"/>
                  <c:pt idx="1">
                    <c:v>+3%</c:v>
                  </c:pt>
                  <c:pt idx="2">
                    <c:v>+5%</c:v>
                  </c:pt>
                  <c:pt idx="3">
                    <c:v>+8%</c:v>
                  </c:pt>
                  <c:pt idx="4">
                    <c:v>-9%</c:v>
                  </c:pt>
                  <c:pt idx="5">
                    <c:v>+8%</c:v>
                  </c:pt>
                  <c:pt idx="6">
                    <c:v>+8%</c:v>
                  </c:pt>
                  <c:pt idx="7">
                    <c:v>-2%</c:v>
                  </c:pt>
                  <c:pt idx="8">
                    <c:v>-6%</c:v>
                  </c:pt>
                  <c:pt idx="9">
                    <c:v>+0%</c:v>
                  </c:pt>
                </c15:dlblRangeCache>
              </c15:datalabelsRange>
            </c:ext>
          </c:extLst>
        </c:ser>
        <c:ser>
          <c:idx val="1"/>
          <c:order val="1"/>
          <c:tx>
            <c:strRef>
              <c:f>"Stabilized Market Cap less Leveraged CF ($M)"</c:f>
              <c:strCache>
                <c:ptCount val="1"/>
                <c:pt idx="0">
                  <c:v>Stabilized Market Cap less Leveraged CF ($M)</c:v>
                </c:pt>
              </c:strCache>
            </c:strRef>
          </c:tx>
          <c:spPr>
            <a:solidFill>
              <a:srgbClr val="d9d9d9"/>
            </a:solidFill>
            <a:ln w="0">
              <a:noFill/>
            </a:ln>
          </c:spPr>
          <c:invertIfNegative val="0"/>
          <c:dLbls>
            <c:txPr>
              <a:bodyPr wrap="square"/>
              <a:lstStyle/>
              <a:p>
                <a:pPr>
                  <a:defRPr b="0" sz="1000" spc="-1" strike="noStrike">
                    <a:solidFill>
                      <a:srgbClr val="000000"/>
                    </a:solidFill>
                    <a:latin typeface="Calibri"/>
                  </a:defRPr>
                </a:pPr>
              </a:p>
            </c:txPr>
            <c:dLblPos val="ctr"/>
            <c:showLegendKey val="0"/>
            <c:showVal val="0"/>
            <c:showCatName val="0"/>
            <c:showSerName val="0"/>
            <c:showPercent val="0"/>
            <c:separator>; </c:separator>
            <c:showLeaderLines val="0"/>
            <c:extLst>
              <c:ext xmlns:c15="http://schemas.microsoft.com/office/drawing/2012/chart" uri="{CE6537A1-D6FC-4f65-9D91-7224C49458BB}">
                <c15:showLeaderLines val="0"/>
              </c:ext>
            </c:extLst>
          </c:dLbls>
          <c:cat>
            <c:strRef>
              <c:f>'Composite vs Market'!$A$4:$A$13</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f>'Composite vs Market'!$R$4:$R$13</c:f>
              <c:numCache>
                <c:formatCode>#,##0</c:formatCode>
                <c:ptCount val="10"/>
                <c:pt idx="0">
                  <c:v>14852.9352135658</c:v>
                </c:pt>
                <c:pt idx="1">
                  <c:v>15360.6898526004</c:v>
                </c:pt>
                <c:pt idx="2">
                  <c:v>13752.3193474921</c:v>
                </c:pt>
                <c:pt idx="3">
                  <c:v>16327.9524295261</c:v>
                </c:pt>
                <c:pt idx="4">
                  <c:v>10652.7026983377</c:v>
                </c:pt>
                <c:pt idx="5">
                  <c:v>13204.5361706428</c:v>
                </c:pt>
                <c:pt idx="6">
                  <c:v>7154.23399799752</c:v>
                </c:pt>
                <c:pt idx="7">
                  <c:v>7538.28890191598</c:v>
                </c:pt>
                <c:pt idx="8">
                  <c:v>7992.98743421326</c:v>
                </c:pt>
                <c:pt idx="9">
                  <c:v>6653.81030130271</c:v>
                </c:pt>
              </c:numCache>
            </c:numRef>
          </c:val>
        </c:ser>
        <c:gapWidth val="150"/>
        <c:overlap val="100"/>
        <c:axId val="61345009"/>
        <c:axId val="88505068"/>
      </c:barChart>
      <c:lineChart>
        <c:grouping val="stacked"/>
        <c:varyColors val="0"/>
        <c:ser>
          <c:idx val="2"/>
          <c:order val="2"/>
          <c:tx>
            <c:strRef>
              <c:f>"Leveraged NOI Multiple (right)"</c:f>
              <c:strCache>
                <c:ptCount val="1"/>
                <c:pt idx="0">
                  <c:v>Leveraged NOI Multiple (right)</c:v>
                </c:pt>
              </c:strCache>
            </c:strRef>
          </c:tx>
          <c:spPr>
            <a:solidFill>
              <a:srgbClr val="1f3b57"/>
            </a:solidFill>
            <a:ln w="28440">
              <a:solidFill>
                <a:srgbClr val="1f3b57"/>
              </a:solidFill>
              <a:round/>
            </a:ln>
          </c:spPr>
          <c:marker>
            <c:symbol val="circle"/>
            <c:size val="5"/>
            <c:spPr>
              <a:solidFill>
                <a:srgbClr val="1f3b57"/>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0"/>
            <c:extLst>
              <c:ext xmlns:c15="http://schemas.microsoft.com/office/drawing/2012/chart" uri="{CE6537A1-D6FC-4f65-9D91-7224C49458BB}">
                <c15:showLeaderLines val="0"/>
              </c:ext>
            </c:extLst>
          </c:dLbls>
          <c:cat>
            <c:strRef>
              <c:f>'Composite vs Market'!$A$4:$A$13</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f>'Composite vs Market'!$K$4:$K$13</c:f>
              <c:numCache>
                <c:formatCode>0.0\x</c:formatCode>
                <c:ptCount val="10"/>
                <c:pt idx="0">
                  <c:v>17.6132092910668</c:v>
                </c:pt>
                <c:pt idx="1">
                  <c:v>17.7251560505962</c:v>
                </c:pt>
                <c:pt idx="2">
                  <c:v>15.27843870568</c:v>
                </c:pt>
                <c:pt idx="3">
                  <c:v>16.7390633921321</c:v>
                </c:pt>
                <c:pt idx="4">
                  <c:v>12.2300887037781</c:v>
                </c:pt>
                <c:pt idx="5">
                  <c:v>13.8786446553959</c:v>
                </c:pt>
                <c:pt idx="6">
                  <c:v>7.47201500489148</c:v>
                </c:pt>
                <c:pt idx="7">
                  <c:v>7.98703370486256</c:v>
                </c:pt>
                <c:pt idx="8">
                  <c:v>8.85617156013748</c:v>
                </c:pt>
                <c:pt idx="9">
                  <c:v>7.51668226615637</c:v>
                </c:pt>
              </c:numCache>
            </c:numRef>
          </c:val>
          <c:smooth val="0"/>
        </c:ser>
        <c:hiLowLines>
          <c:spPr>
            <a:ln w="0">
              <a:noFill/>
            </a:ln>
          </c:spPr>
        </c:hiLowLines>
        <c:marker val="1"/>
        <c:axId val="24728463"/>
        <c:axId val="93328785"/>
      </c:lineChart>
      <c:catAx>
        <c:axId val="61345009"/>
        <c:scaling>
          <c:orientation val="minMax"/>
        </c:scaling>
        <c:delete val="0"/>
        <c:axPos val="b"/>
        <c:numFmt formatCode="General" sourceLinked="0"/>
        <c:majorTickMark val="none"/>
        <c:minorTickMark val="none"/>
        <c:tickLblPos val="low"/>
        <c:spPr>
          <a:ln w="0">
            <a:solidFill>
              <a:srgbClr val="b3b3b3"/>
            </a:solidFill>
          </a:ln>
        </c:spPr>
        <c:txPr>
          <a:bodyPr/>
          <a:lstStyle/>
          <a:p>
            <a:pPr>
              <a:defRPr b="0" sz="1000" spc="-1" strike="noStrike">
                <a:solidFill>
                  <a:srgbClr val="000000"/>
                </a:solidFill>
                <a:latin typeface="Calibri"/>
              </a:defRPr>
            </a:pPr>
          </a:p>
        </c:txPr>
        <c:crossAx val="88505068"/>
        <c:crosses val="autoZero"/>
        <c:auto val="1"/>
        <c:lblAlgn val="ctr"/>
        <c:lblOffset val="100"/>
        <c:noMultiLvlLbl val="0"/>
      </c:catAx>
      <c:valAx>
        <c:axId val="88505068"/>
        <c:scaling>
          <c:orientation val="minMax"/>
          <c:min val="0"/>
        </c:scaling>
        <c:delete val="0"/>
        <c:axPos val="l"/>
        <c:majorGridlines>
          <c:spPr>
            <a:ln w="0">
              <a:solidFill>
                <a:srgbClr val="b3b3b3"/>
              </a:solidFill>
            </a:ln>
          </c:spPr>
        </c:majorGridlines>
        <c:numFmt formatCode="#,##0"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61345009"/>
        <c:crosses val="autoZero"/>
        <c:crossBetween val="between"/>
      </c:valAx>
      <c:catAx>
        <c:axId val="24728463"/>
        <c:scaling>
          <c:orientation val="minMax"/>
        </c:scaling>
        <c:delete val="1"/>
        <c:axPos val="t"/>
        <c:numFmt formatCode="General" sourceLinked="1"/>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93328785"/>
        <c:auto val="1"/>
        <c:lblAlgn val="ctr"/>
        <c:lblOffset val="100"/>
        <c:noMultiLvlLbl val="0"/>
      </c:catAx>
      <c:valAx>
        <c:axId val="93328785"/>
        <c:scaling>
          <c:orientation val="minMax"/>
        </c:scaling>
        <c:delete val="0"/>
        <c:axPos val="r"/>
        <c:numFmt formatCode="0.0\x"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24728463"/>
        <c:crosses val="max"/>
        <c:crossBetween val="between"/>
      </c:valAx>
      <c:spPr>
        <a:noFill/>
        <a:ln w="0">
          <a:noFill/>
        </a:ln>
      </c:spPr>
    </c:plotArea>
    <c:legend>
      <c:legendPos val="b"/>
      <c:overlay val="0"/>
      <c:spPr>
        <a:noFill/>
        <a:ln w="0">
          <a:noFill/>
        </a:ln>
      </c:spPr>
      <c:txPr>
        <a:bodyPr/>
        <a:lstStyle/>
        <a:p>
          <a:pPr>
            <a:defRPr b="0" sz="1000" spc="-1" strike="noStrike">
              <a:solidFill>
                <a:srgbClr val="000000"/>
              </a:solidFill>
              <a:latin typeface="Calibri"/>
            </a:defRPr>
          </a:pPr>
        </a:p>
      </c:txPr>
    </c:legend>
    <c:plotVisOnly val="1"/>
    <c:dispBlanksAs val="gap"/>
  </c:chart>
  <c:spPr>
    <a:solidFill>
      <a:srgbClr val="ffffff"/>
    </a:solidFill>
    <a:ln w="9360">
      <a:solidFill>
        <a:srgbClr val="d9d9d9"/>
      </a:solidFill>
      <a:round/>
    </a:ln>
  </c:spPr>
</c:chartSpace>
</file>

<file path=xl/charts/chart47.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lang="en-US" sz="1200" spc="-1" strike="noStrike">
                <a:solidFill>
                  <a:srgbClr val="000000"/>
                </a:solidFill>
                <a:latin typeface="Calibri"/>
              </a:defRPr>
            </a:pPr>
            <a:r>
              <a:rPr b="1" lang="en-US" sz="1200" spc="-1" strike="noStrike">
                <a:solidFill>
                  <a:srgbClr val="000000"/>
                </a:solidFill>
                <a:latin typeface="Calibri"/>
              </a:rPr>
              <a:t>Composite Implied Cap Rate vs. Private Office Cap Rates (2016-2025)</a:t>
            </a:r>
          </a:p>
        </c:rich>
      </c:tx>
      <c:overlay val="0"/>
      <c:spPr>
        <a:noFill/>
        <a:ln w="0">
          <a:noFill/>
        </a:ln>
      </c:spPr>
    </c:title>
    <c:autoTitleDeleted val="0"/>
    <c:plotArea>
      <c:layout>
        <c:manualLayout>
          <c:layoutTarget val="inner"/>
          <c:xMode val="edge"/>
          <c:yMode val="edge"/>
          <c:x val="0.100039750894395"/>
          <c:y val="0.160271228232393"/>
          <c:w val="0.799059228832649"/>
          <c:h val="0.619355832948066"/>
        </c:manualLayout>
      </c:layout>
      <c:scatterChart>
        <c:scatterStyle val="lineMarker"/>
        <c:varyColors val="0"/>
        <c:ser>
          <c:idx val="0"/>
          <c:order val="0"/>
          <c:tx>
            <c:strRef>
              <c:f>"Composite Implied Cap Rate (public pricing, year-end)"</c:f>
              <c:strCache>
                <c:ptCount val="1"/>
                <c:pt idx="0">
                  <c:v>Composite Implied Cap Rate (public pricing, year-end)</c:v>
                </c:pt>
              </c:strCache>
            </c:strRef>
          </c:tx>
          <c:spPr>
            <a:solidFill>
              <a:srgbClr val="a31f34"/>
            </a:solidFill>
            <a:ln w="28440">
              <a:solidFill>
                <a:srgbClr val="a31f34"/>
              </a:solidFill>
              <a:round/>
            </a:ln>
          </c:spPr>
          <c:marker>
            <c:symbol val="circle"/>
            <c:size val="5"/>
            <c:spPr>
              <a:solidFill>
                <a:srgbClr val="a31f34"/>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0"/>
            <c:extLst>
              <c:ext xmlns:c15="http://schemas.microsoft.com/office/drawing/2012/chart" uri="{CE6537A1-D6FC-4f65-9D91-7224C49458BB}">
                <c15:showLeaderLines val="0"/>
              </c:ext>
            </c:extLst>
          </c:dLbls>
          <c:xVal>
            <c:numRef>
              <c:f>'Composite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'Composite vs Market'!$B$4:$B$13</c:f>
              <c:numCache>
                <c:formatCode>0.00%</c:formatCode>
                <c:ptCount val="10"/>
                <c:pt idx="0">
                  <c:v>0.0510259496535679</c:v>
                </c:pt>
                <c:pt idx="1">
                  <c:v>0.0498096746857612</c:v>
                </c:pt>
                <c:pt idx="2">
                  <c:v>0.0541451373592081</c:v>
                </c:pt>
                <c:pt idx="3">
                  <c:v>0.0511641245456592</c:v>
                </c:pt>
                <c:pt idx="4">
                  <c:v>0.0593421646400434</c:v>
                </c:pt>
                <c:pt idx="5">
                  <c:v>0.0562814110026484</c:v>
                </c:pt>
                <c:pt idx="6">
                  <c:v>0.0764503926820929</c:v>
                </c:pt>
                <c:pt idx="7">
                  <c:v>0.0748352349108724</c:v>
                </c:pt>
                <c:pt idx="8">
                  <c:v>0.0721241026206825</c:v>
                </c:pt>
                <c:pt idx="9">
                  <c:v>0.0767767067826269</c:v>
                </c:pt>
              </c:numCache>
            </c:numRef>
          </c:yVal>
          <c:smooth val="0"/>
        </c:ser>
        <c:ser>
          <c:idx val="1"/>
          <c:order val="1"/>
          <c:tx>
            <c:strRef>
              <c:f>"Green Street Nominal Cap Rate, 51-Market Wtd Avg (4Q)"</c:f>
              <c:strCache>
                <c:ptCount val="1"/>
                <c:pt idx="0">
                  <c:v>Green Street Nominal Cap Rate, 51-Market Wtd Avg (4Q)</c:v>
                </c:pt>
              </c:strCache>
            </c:strRef>
          </c:tx>
          <c:spPr>
            <a:solidFill>
              <a:srgbClr val="1f3b57"/>
            </a:solidFill>
            <a:ln w="28440">
              <a:solidFill>
                <a:srgbClr val="1f3b57"/>
              </a:solidFill>
              <a:round/>
            </a:ln>
          </c:spPr>
          <c:marker>
            <c:symbol val="square"/>
            <c:size val="5"/>
            <c:spPr>
              <a:solidFill>
                <a:srgbClr val="1f3b57"/>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0"/>
            <c:extLst>
              <c:ext xmlns:c15="http://schemas.microsoft.com/office/drawing/2012/chart" uri="{CE6537A1-D6FC-4f65-9D91-7224C49458BB}">
                <c15:showLeaderLines val="0"/>
              </c:ext>
            </c:extLst>
          </c:dLbls>
          <c:xVal>
            <c:numRef>
              <c:f>'Composite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'Composite vs Market'!$T$4:$T$13</c:f>
              <c:numCache>
                <c:formatCode>0.00%</c:formatCode>
                <c:ptCount val="10"/>
                <c:pt idx="0">
                  <c:v>0.05658714</c:v>
                </c:pt>
                <c:pt idx="1">
                  <c:v>0.05803697</c:v>
                </c:pt>
                <c:pt idx="2">
                  <c:v>0.0583128</c:v>
                </c:pt>
                <c:pt idx="3">
                  <c:v>0.05915908</c:v>
                </c:pt>
                <c:pt idx="4">
                  <c:v>0.06399001</c:v>
                </c:pt>
                <c:pt idx="5">
                  <c:v>0.06497242</c:v>
                </c:pt>
                <c:pt idx="6">
                  <c:v>0.07948753</c:v>
                </c:pt>
                <c:pt idx="7">
                  <c:v>0.10690485</c:v>
                </c:pt>
                <c:pt idx="8">
                  <c:v>0.10737802</c:v>
                </c:pt>
                <c:pt idx="9">
                  <c:v>0.1048993</c:v>
                </c:pt>
              </c:numCache>
            </c:numRef>
          </c:yVal>
          <c:smooth val="0"/>
        </c:ser>
        <c:ser>
          <c:idx val="2"/>
          <c:order val="2"/>
          <c:tx>
            <c:strRef>
              <c:f>"10-Yr UST Yield"</c:f>
              <c:strCache>
                <c:ptCount val="1"/>
                <c:pt idx="0">
                  <c:v>10-Yr UST Yield</c:v>
                </c:pt>
              </c:strCache>
            </c:strRef>
          </c:tx>
          <c:spPr>
            <a:solidFill>
              <a:srgbClr val="8a8a8a"/>
            </a:solidFill>
            <a:ln w="28440">
              <a:solidFill>
                <a:srgbClr val="8a8a8a"/>
              </a:solidFill>
              <a:prstDash val="sysDot"/>
              <a:round/>
            </a:ln>
          </c:spPr>
          <c:marker>
            <c:symbol val="dash"/>
            <c:size val="4"/>
            <c:spPr>
              <a:solidFill>
                <a:srgbClr val="8a8a8a"/>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0"/>
            <c:extLst>
              <c:ext xmlns:c15="http://schemas.microsoft.com/office/drawing/2012/chart" uri="{CE6537A1-D6FC-4f65-9D91-7224C49458BB}">
                <c15:showLeaderLines val="0"/>
              </c:ext>
            </c:extLst>
          </c:dLbls>
          <c:xVal>
            <c:numRef>
              <c:f>'Composite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'Composite vs Market'!$C$4:$C$13</c:f>
              <c:numCache>
                <c:formatCode>0.00%</c:formatCode>
                <c:ptCount val="10"/>
                <c:pt idx="0">
                  <c:v>0.0245</c:v>
                </c:pt>
                <c:pt idx="1">
                  <c:v>0.024</c:v>
                </c:pt>
                <c:pt idx="2">
                  <c:v>0.0269</c:v>
                </c:pt>
                <c:pt idx="3">
                  <c:v>0.0192</c:v>
                </c:pt>
                <c:pt idx="4">
                  <c:v>0.0093</c:v>
                </c:pt>
                <c:pt idx="5">
                  <c:v>0.0152</c:v>
                </c:pt>
                <c:pt idx="6">
                  <c:v>0.0388</c:v>
                </c:pt>
                <c:pt idx="7">
                  <c:v>0.0388</c:v>
                </c:pt>
                <c:pt idx="8">
                  <c:v>0.0458</c:v>
                </c:pt>
                <c:pt idx="9">
                  <c:v>0.0418</c:v>
                </c:pt>
              </c:numCache>
            </c:numRef>
          </c:yVal>
          <c:smooth val="0"/>
        </c:ser>
        <c:axId val="15770350"/>
        <c:axId val="21982993"/>
      </c:scatterChart>
      <c:valAx>
        <c:axId val="15770350"/>
        <c:scaling>
          <c:orientation val="minMax"/>
        </c:scaling>
        <c:delete val="0"/>
        <c:axPos val="b"/>
        <c:numFmt formatCode="0" sourceLinked="0"/>
        <c:majorTickMark val="none"/>
        <c:minorTickMark val="none"/>
        <c:tickLblPos val="low"/>
        <c:spPr>
          <a:ln w="0">
            <a:solidFill>
              <a:srgbClr val="b3b3b3"/>
            </a:solidFill>
          </a:ln>
        </c:spPr>
        <c:txPr>
          <a:bodyPr/>
          <a:lstStyle/>
          <a:p>
            <a:pPr>
              <a:defRPr b="0" sz="1000" spc="-1" strike="noStrike">
                <a:solidFill>
                  <a:srgbClr val="000000"/>
                </a:solidFill>
                <a:latin typeface="Calibri"/>
              </a:defRPr>
            </a:pPr>
          </a:p>
        </c:txPr>
        <c:crossAx val="21982993"/>
        <c:crosses val="autoZero"/>
        <c:crossBetween val="midCat"/>
        <c:majorUnit val="1"/>
      </c:valAx>
      <c:valAx>
        <c:axId val="21982993"/>
        <c:scaling>
          <c:orientation val="minMax"/>
        </c:scaling>
        <c:delete val="0"/>
        <c:axPos val="l"/>
        <c:majorGridlines>
          <c:spPr>
            <a:ln w="0">
              <a:solidFill>
                <a:srgbClr val="b3b3b3"/>
              </a:solidFill>
            </a:ln>
          </c:spPr>
        </c:majorGridlines>
        <c:numFmt formatCode="0.0%"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15770350"/>
        <c:crosses val="autoZero"/>
        <c:crossBetween val="midCat"/>
      </c:valAx>
      <c:spPr>
        <a:noFill/>
        <a:ln w="0">
          <a:noFill/>
        </a:ln>
      </c:spPr>
    </c:plotArea>
    <c:legend>
      <c:legendPos val="b"/>
      <c:overlay val="0"/>
      <c:spPr>
        <a:noFill/>
        <a:ln w="0">
          <a:noFill/>
        </a:ln>
      </c:spPr>
      <c:txPr>
        <a:bodyPr/>
        <a:lstStyle/>
        <a:p>
          <a:pPr>
            <a:defRPr b="0" sz="1000" spc="-1" strike="noStrike">
              <a:solidFill>
                <a:srgbClr val="000000"/>
              </a:solidFill>
              <a:latin typeface="Calibri"/>
            </a:defRPr>
          </a:pPr>
        </a:p>
      </c:txPr>
    </c:legend>
    <c:plotVisOnly val="1"/>
    <c:dispBlanksAs val="gap"/>
  </c:chart>
  <c:spPr>
    <a:solidFill>
      <a:srgbClr val="ffffff"/>
    </a:solidFill>
    <a:ln w="9360">
      <a:solidFill>
        <a:srgbClr val="d9d9d9"/>
      </a:solidFill>
      <a:round/>
    </a:ln>
  </c:spPr>
</c:chartSpace>
</file>

<file path=xl/charts/chart48.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lang="en-US" sz="1200" spc="-1" strike="noStrike">
                <a:solidFill>
                  <a:srgbClr val="000000"/>
                </a:solidFill>
                <a:latin typeface="Calibri"/>
              </a:defRPr>
            </a:pPr>
            <a:r>
              <a:rPr b="1" lang="en-US" sz="1200" spc="-1" strike="noStrike">
                <a:solidFill>
                  <a:srgbClr val="000000"/>
                </a:solidFill>
                <a:latin typeface="Calibri"/>
              </a:rPr>
              <a:t>Office Values vs. Construction Costs vs. CPI, Indexed to 2016 (2016-2025)</a:t>
            </a:r>
          </a:p>
        </c:rich>
      </c:tx>
      <c:overlay val="0"/>
      <c:spPr>
        <a:noFill/>
        <a:ln w="0">
          <a:noFill/>
        </a:ln>
      </c:spPr>
    </c:title>
    <c:autoTitleDeleted val="0"/>
    <c:plotArea>
      <c:layout>
        <c:manualLayout>
          <c:layoutTarget val="inner"/>
          <c:xMode val="edge"/>
          <c:yMode val="edge"/>
          <c:x val="0.100039750894395"/>
          <c:y val="0.160271228232393"/>
          <c:w val="0.799059228832649"/>
          <c:h val="0.619355832948066"/>
        </c:manualLayout>
      </c:layout>
      <c:scatterChart>
        <c:scatterStyle val="lineMarker"/>
        <c:varyColors val="0"/>
        <c:ser>
          <c:idx val="0"/>
          <c:order val="0"/>
          <c:tx>
            <c:strRef>
              <c:f>"Office Property Values (Green Street CPPI)"</c:f>
              <c:strCache>
                <c:ptCount val="1"/>
                <c:pt idx="0">
                  <c:v>Office Property Values (Green Street CPPI)</c:v>
                </c:pt>
              </c:strCache>
            </c:strRef>
          </c:tx>
          <c:spPr>
            <a:solidFill>
              <a:srgbClr val="a31f34"/>
            </a:solidFill>
            <a:ln w="28440">
              <a:solidFill>
                <a:srgbClr val="a31f34"/>
              </a:solidFill>
              <a:round/>
            </a:ln>
          </c:spPr>
          <c:marker>
            <c:symbol val="circle"/>
            <c:size val="5"/>
            <c:spPr>
              <a:solidFill>
                <a:srgbClr val="a31f34"/>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0"/>
            <c:extLst>
              <c:ext xmlns:c15="http://schemas.microsoft.com/office/drawing/2012/chart" uri="{CE6537A1-D6FC-4f65-9D91-7224C49458BB}">
                <c15:showLeaderLines val="0"/>
              </c:ext>
            </c:extLst>
          </c:dLbls>
          <c:xVal>
            <c:numRef>
              <c:f>'Composite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'Composite vs Market'!$U$4:$U$13</c:f>
              <c:numCache>
                <c:formatCode>#,##0</c:formatCode>
                <c:ptCount val="10"/>
                <c:pt idx="0">
                  <c:v>100</c:v>
                </c:pt>
                <c:pt idx="1">
                  <c:v>102.414193258894</c:v>
                </c:pt>
                <c:pt idx="2">
                  <c:v>102.121786086096</c:v>
                </c:pt>
                <c:pt idx="3">
                  <c:v>104.704183104862</c:v>
                </c:pt>
                <c:pt idx="4">
                  <c:v>97.1388418279712</c:v>
                </c:pt>
                <c:pt idx="5">
                  <c:v>96.7262233029072</c:v>
                </c:pt>
                <c:pt idx="6">
                  <c:v>75.3039532955945</c:v>
                </c:pt>
                <c:pt idx="7">
                  <c:v>44.7050530590909</c:v>
                </c:pt>
                <c:pt idx="8">
                  <c:v>43.6731644078836</c:v>
                </c:pt>
                <c:pt idx="9">
                  <c:v>44.169712307612</c:v>
                </c:pt>
              </c:numCache>
            </c:numRef>
          </c:yVal>
          <c:smooth val="0"/>
        </c:ser>
        <c:ser>
          <c:idx val="1"/>
          <c:order val="1"/>
          <c:tx>
            <c:strRef>
              <c:f>"Non-Residential Construction Costs (PPI)"</c:f>
              <c:strCache>
                <c:ptCount val="1"/>
                <c:pt idx="0">
                  <c:v>Non-Residential Construction Costs (PPI)</c:v>
                </c:pt>
              </c:strCache>
            </c:strRef>
          </c:tx>
          <c:spPr>
            <a:solidFill>
              <a:srgbClr val="1f3b57"/>
            </a:solidFill>
            <a:ln w="28440">
              <a:solidFill>
                <a:srgbClr val="1f3b57"/>
              </a:solidFill>
              <a:round/>
            </a:ln>
          </c:spPr>
          <c:marker>
            <c:symbol val="square"/>
            <c:size val="5"/>
            <c:spPr>
              <a:solidFill>
                <a:srgbClr val="1f3b57"/>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0"/>
            <c:extLst>
              <c:ext xmlns:c15="http://schemas.microsoft.com/office/drawing/2012/chart" uri="{CE6537A1-D6FC-4f65-9D91-7224C49458BB}">
                <c15:showLeaderLines val="0"/>
              </c:ext>
            </c:extLst>
          </c:dLbls>
          <c:xVal>
            <c:numRef>
              <c:f>'Composite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'Composite vs Market'!$V$4:$V$13</c:f>
              <c:numCache>
                <c:formatCode>#,##0</c:formatCode>
                <c:ptCount val="10"/>
                <c:pt idx="0">
                  <c:v>100</c:v>
                </c:pt>
                <c:pt idx="1">
                  <c:v>102.196167016261</c:v>
                </c:pt>
                <c:pt idx="2">
                  <c:v>106.491690421126</c:v>
                </c:pt>
                <c:pt idx="3">
                  <c:v>111.952526936661</c:v>
                </c:pt>
                <c:pt idx="4">
                  <c:v>114.716111798347</c:v>
                </c:pt>
                <c:pt idx="5">
                  <c:v>120.671758188566</c:v>
                </c:pt>
                <c:pt idx="6">
                  <c:v>144.713064056365</c:v>
                </c:pt>
                <c:pt idx="7">
                  <c:v>156.117893831012</c:v>
                </c:pt>
                <c:pt idx="8">
                  <c:v>156.281037666505</c:v>
                </c:pt>
                <c:pt idx="9">
                  <c:v>158.821420247764</c:v>
                </c:pt>
              </c:numCache>
            </c:numRef>
          </c:yVal>
          <c:smooth val="0"/>
        </c:ser>
        <c:ser>
          <c:idx val="2"/>
          <c:order val="2"/>
          <c:tx>
            <c:strRef>
              <c:f>"CPI (All Urban Consumers)"</c:f>
              <c:strCache>
                <c:ptCount val="1"/>
                <c:pt idx="0">
                  <c:v>CPI (All Urban Consumers)</c:v>
                </c:pt>
              </c:strCache>
            </c:strRef>
          </c:tx>
          <c:spPr>
            <a:solidFill>
              <a:srgbClr val="8a8a8a"/>
            </a:solidFill>
            <a:ln w="28440">
              <a:solidFill>
                <a:srgbClr val="8a8a8a"/>
              </a:solidFill>
              <a:prstDash val="dash"/>
              <a:round/>
            </a:ln>
          </c:spPr>
          <c:marker>
            <c:symbol val="dash"/>
            <c:size val="4"/>
            <c:spPr>
              <a:solidFill>
                <a:srgbClr val="8a8a8a"/>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0"/>
            <c:extLst>
              <c:ext xmlns:c15="http://schemas.microsoft.com/office/drawing/2012/chart" uri="{CE6537A1-D6FC-4f65-9D91-7224C49458BB}">
                <c15:showLeaderLines val="0"/>
              </c:ext>
            </c:extLst>
          </c:dLbls>
          <c:xVal>
            <c:numRef>
              <c:f>'Composite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'Composite vs Market'!$W$4:$W$13</c:f>
              <c:numCache>
                <c:formatCode>#,##0</c:formatCode>
                <c:ptCount val="10"/>
                <c:pt idx="0">
                  <c:v>100</c:v>
                </c:pt>
                <c:pt idx="1">
                  <c:v>102.13162225787</c:v>
                </c:pt>
                <c:pt idx="2">
                  <c:v>104.622820357909</c:v>
                </c:pt>
                <c:pt idx="3">
                  <c:v>106.519864169497</c:v>
                </c:pt>
                <c:pt idx="4">
                  <c:v>107.85441969959</c:v>
                </c:pt>
                <c:pt idx="5">
                  <c:v>112.903064519489</c:v>
                </c:pt>
                <c:pt idx="6">
                  <c:v>121.924959896669</c:v>
                </c:pt>
                <c:pt idx="7">
                  <c:v>126.956938397117</c:v>
                </c:pt>
                <c:pt idx="8">
                  <c:v>130.704776983813</c:v>
                </c:pt>
                <c:pt idx="9">
                  <c:v>134.14803858253</c:v>
                </c:pt>
              </c:numCache>
            </c:numRef>
          </c:yVal>
          <c:smooth val="0"/>
        </c:ser>
        <c:axId val="89196834"/>
        <c:axId val="98079107"/>
      </c:scatterChart>
      <c:valAx>
        <c:axId val="89196834"/>
        <c:scaling>
          <c:orientation val="minMax"/>
        </c:scaling>
        <c:delete val="0"/>
        <c:axPos val="b"/>
        <c:numFmt formatCode="0" sourceLinked="0"/>
        <c:majorTickMark val="none"/>
        <c:minorTickMark val="none"/>
        <c:tickLblPos val="low"/>
        <c:spPr>
          <a:ln w="0">
            <a:solidFill>
              <a:srgbClr val="b3b3b3"/>
            </a:solidFill>
          </a:ln>
        </c:spPr>
        <c:txPr>
          <a:bodyPr/>
          <a:lstStyle/>
          <a:p>
            <a:pPr>
              <a:defRPr b="0" sz="1000" spc="-1" strike="noStrike">
                <a:solidFill>
                  <a:srgbClr val="000000"/>
                </a:solidFill>
                <a:latin typeface="Calibri"/>
              </a:defRPr>
            </a:pPr>
          </a:p>
        </c:txPr>
        <c:crossAx val="98079107"/>
        <c:crosses val="autoZero"/>
        <c:crossBetween val="midCat"/>
        <c:majorUnit val="1"/>
      </c:valAx>
      <c:valAx>
        <c:axId val="98079107"/>
        <c:scaling>
          <c:orientation val="minMax"/>
        </c:scaling>
        <c:delete val="0"/>
        <c:axPos val="l"/>
        <c:majorGridlines>
          <c:spPr>
            <a:ln w="0">
              <a:solidFill>
                <a:srgbClr val="b3b3b3"/>
              </a:solidFill>
            </a:ln>
          </c:spPr>
        </c:majorGridlines>
        <c:numFmt formatCode="0"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89196834"/>
        <c:crosses val="autoZero"/>
        <c:crossBetween val="midCat"/>
      </c:valAx>
      <c:spPr>
        <a:noFill/>
        <a:ln w="0">
          <a:noFill/>
        </a:ln>
      </c:spPr>
    </c:plotArea>
    <c:legend>
      <c:legendPos val="b"/>
      <c:overlay val="0"/>
      <c:spPr>
        <a:noFill/>
        <a:ln w="0">
          <a:noFill/>
        </a:ln>
      </c:spPr>
      <c:txPr>
        <a:bodyPr/>
        <a:lstStyle/>
        <a:p>
          <a:pPr>
            <a:defRPr b="0" sz="1000" spc="-1" strike="noStrike">
              <a:solidFill>
                <a:srgbClr val="000000"/>
              </a:solidFill>
              <a:latin typeface="Calibri"/>
            </a:defRPr>
          </a:pPr>
        </a:p>
      </c:txPr>
    </c:legend>
    <c:plotVisOnly val="1"/>
    <c:dispBlanksAs val="gap"/>
  </c:chart>
  <c:spPr>
    <a:solidFill>
      <a:srgbClr val="ffffff"/>
    </a:solidFill>
    <a:ln w="9360">
      <a:solidFill>
        <a:srgbClr val="d9d9d9"/>
      </a:solidFill>
      <a:round/>
    </a:ln>
  </c:spPr>
</c:chartSpace>
</file>

<file path=xl/charts/chart49.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lang="en-US" sz="1200" spc="-1" strike="noStrike">
                <a:solidFill>
                  <a:srgbClr val="000000"/>
                </a:solidFill>
                <a:latin typeface="Calibri"/>
              </a:defRPr>
            </a:pPr>
            <a:r>
              <a:rPr b="1" lang="en-US" sz="1200" spc="-1" strike="noStrike">
                <a:solidFill>
                  <a:srgbClr val="000000"/>
                </a:solidFill>
                <a:latin typeface="Calibri"/>
              </a:rPr>
              <a:t>Market Asking Rent and Occupancy (2016-2025)
Left axis: CoStar market asking rent, $/SF. Right axis: occupancy (100% less vacancy).</a:t>
            </a:r>
          </a:p>
        </c:rich>
      </c:tx>
      <c:overlay val="0"/>
      <c:spPr>
        <a:noFill/>
        <a:ln w="0">
          <a:noFill/>
        </a:ln>
      </c:spPr>
    </c:title>
    <c:autoTitleDeleted val="0"/>
    <c:plotArea>
      <c:layout>
        <c:manualLayout>
          <c:layoutTarget val="inner"/>
          <c:xMode val="edge"/>
          <c:yMode val="edge"/>
          <c:x val="0.100039750894395"/>
          <c:y val="0.160271228232393"/>
          <c:w val="0.799059228832649"/>
          <c:h val="0.619355832948066"/>
        </c:manualLayout>
      </c:layout>
      <c:scatterChart>
        <c:scatterStyle val="lineMarker"/>
        <c:varyColors val="0"/>
        <c:ser>
          <c:idx val="0"/>
          <c:order val="0"/>
          <c:tx>
            <c:strRef>
              <c:f>"CoStar Market Asking Rent ($/SF, left)"</c:f>
              <c:strCache>
                <c:ptCount val="1"/>
                <c:pt idx="0">
                  <c:v>CoStar Market Asking Rent ($/SF, left)</c:v>
                </c:pt>
              </c:strCache>
            </c:strRef>
          </c:tx>
          <c:spPr>
            <a:solidFill>
              <a:srgbClr val="a31f34"/>
            </a:solidFill>
            <a:ln w="28440">
              <a:solidFill>
                <a:srgbClr val="a31f34"/>
              </a:solidFill>
              <a:round/>
            </a:ln>
          </c:spPr>
          <c:marker>
            <c:symbol val="circle"/>
            <c:size val="5"/>
            <c:spPr>
              <a:solidFill>
                <a:srgbClr val="a31f34"/>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0"/>
            <c:extLst>
              <c:ext xmlns:c15="http://schemas.microsoft.com/office/drawing/2012/chart" uri="{CE6537A1-D6FC-4f65-9D91-7224C49458BB}">
                <c15:showLeaderLines val="0"/>
              </c:ext>
            </c:extLst>
          </c:dLbls>
          <c:xVal>
            <c:numRef>
              <c:f>'Composite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'Composite vs Market'!$AA$4:$AA$13</c:f>
              <c:numCache>
                <c:formatCode>#,##0</c:formatCode>
                <c:ptCount val="10"/>
                <c:pt idx="0">
                  <c:v>31.6313190637154</c:v>
                </c:pt>
                <c:pt idx="1">
                  <c:v>32.3851045859914</c:v>
                </c:pt>
                <c:pt idx="2">
                  <c:v>33.365978832824</c:v>
                </c:pt>
                <c:pt idx="3">
                  <c:v>34.5498725143906</c:v>
                </c:pt>
                <c:pt idx="4">
                  <c:v>34.0125009840526</c:v>
                </c:pt>
                <c:pt idx="5">
                  <c:v>34.3147010369627</c:v>
                </c:pt>
                <c:pt idx="6">
                  <c:v>34.9589096868985</c:v>
                </c:pt>
                <c:pt idx="7">
                  <c:v>35.3207484274751</c:v>
                </c:pt>
                <c:pt idx="8">
                  <c:v>36.0129883425729</c:v>
                </c:pt>
                <c:pt idx="9">
                  <c:v>36.7572621381188</c:v>
                </c:pt>
              </c:numCache>
            </c:numRef>
          </c:yVal>
          <c:smooth val="0"/>
        </c:ser>
        <c:axId val="32515243"/>
        <c:axId val="97129157"/>
      </c:scatterChart>
      <c:scatterChart>
        <c:scatterStyle val="lineMarker"/>
        <c:varyColors val="0"/>
        <c:ser>
          <c:idx val="1"/>
          <c:order val="1"/>
          <c:tx>
            <c:strRef>
              <c:f>"CoStar National Occupancy (right)"</c:f>
              <c:strCache>
                <c:ptCount val="1"/>
                <c:pt idx="0">
                  <c:v>CoStar National Occupancy (right)</c:v>
                </c:pt>
              </c:strCache>
            </c:strRef>
          </c:tx>
          <c:spPr>
            <a:solidFill>
              <a:srgbClr val="8a8a8a"/>
            </a:solidFill>
            <a:ln w="28440">
              <a:solidFill>
                <a:srgbClr val="8a8a8a"/>
              </a:solidFill>
              <a:prstDash val="dash"/>
              <a:round/>
            </a:ln>
          </c:spPr>
          <c:marker>
            <c:symbol val="diamond"/>
            <c:size val="4"/>
            <c:spPr>
              <a:solidFill>
                <a:srgbClr val="8a8a8a"/>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0"/>
            <c:extLst>
              <c:ext xmlns:c15="http://schemas.microsoft.com/office/drawing/2012/chart" uri="{CE6537A1-D6FC-4f65-9D91-7224C49458BB}">
                <c15:showLeaderLines val="0"/>
              </c:ext>
            </c:extLst>
          </c:dLbls>
          <c:xVal>
            <c:numRef>
              <c:f>'Composite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'Composite vs Market'!$AB$4:$AB$13</c:f>
              <c:numCache>
                <c:formatCode>0.0%</c:formatCode>
                <c:ptCount val="10"/>
                <c:pt idx="0">
                  <c:v>0.90292644820865</c:v>
                </c:pt>
                <c:pt idx="1">
                  <c:v>0.904512025125065</c:v>
                </c:pt>
                <c:pt idx="2">
                  <c:v>0.906788544184796</c:v>
                </c:pt>
                <c:pt idx="3">
                  <c:v>0.90640074478559</c:v>
                </c:pt>
                <c:pt idx="4">
                  <c:v>0.892342836722361</c:v>
                </c:pt>
                <c:pt idx="5">
                  <c:v>0.881820255291229</c:v>
                </c:pt>
                <c:pt idx="6">
                  <c:v>0.876175318494471</c:v>
                </c:pt>
                <c:pt idx="7">
                  <c:v>0.865204674783267</c:v>
                </c:pt>
                <c:pt idx="8">
                  <c:v>0.860445979092512</c:v>
                </c:pt>
                <c:pt idx="9">
                  <c:v>0.859618577591907</c:v>
                </c:pt>
              </c:numCache>
            </c:numRef>
          </c:yVal>
          <c:smooth val="0"/>
        </c:ser>
        <c:axId val="63758464"/>
        <c:axId val="97407997"/>
      </c:scatterChart>
      <c:valAx>
        <c:axId val="32515243"/>
        <c:scaling>
          <c:orientation val="minMax"/>
        </c:scaling>
        <c:delete val="0"/>
        <c:axPos val="b"/>
        <c:numFmt formatCode="0" sourceLinked="0"/>
        <c:majorTickMark val="none"/>
        <c:minorTickMark val="none"/>
        <c:tickLblPos val="low"/>
        <c:spPr>
          <a:ln w="0">
            <a:solidFill>
              <a:srgbClr val="b3b3b3"/>
            </a:solidFill>
          </a:ln>
        </c:spPr>
        <c:txPr>
          <a:bodyPr/>
          <a:lstStyle/>
          <a:p>
            <a:pPr>
              <a:defRPr b="0" sz="1000" spc="-1" strike="noStrike">
                <a:solidFill>
                  <a:srgbClr val="000000"/>
                </a:solidFill>
                <a:latin typeface="Calibri"/>
              </a:defRPr>
            </a:pPr>
          </a:p>
        </c:txPr>
        <c:crossAx val="97129157"/>
        <c:crosses val="autoZero"/>
        <c:crossBetween val="midCat"/>
        <c:majorUnit val="1"/>
      </c:valAx>
      <c:valAx>
        <c:axId val="97129157"/>
        <c:scaling>
          <c:orientation val="minMax"/>
        </c:scaling>
        <c:delete val="0"/>
        <c:axPos val="l"/>
        <c:majorGridlines>
          <c:spPr>
            <a:ln w="0">
              <a:solidFill>
                <a:srgbClr val="b3b3b3"/>
              </a:solidFill>
            </a:ln>
          </c:spPr>
        </c:majorGridlines>
        <c:numFmt formatCode="\$0.00"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32515243"/>
        <c:crosses val="autoZero"/>
        <c:crossBetween val="midCat"/>
      </c:valAx>
      <c:valAx>
        <c:axId val="63758464"/>
        <c:scaling>
          <c:orientation val="minMax"/>
        </c:scaling>
        <c:delete val="1"/>
        <c:axPos val="t"/>
        <c:numFmt formatCode="General" sourceLinked="1"/>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97407997"/>
        <c:crossBetween val="midCat"/>
        <c:majorUnit val="1"/>
      </c:valAx>
      <c:valAx>
        <c:axId val="97407997"/>
        <c:scaling>
          <c:orientation val="minMax"/>
        </c:scaling>
        <c:delete val="0"/>
        <c:axPos val="r"/>
        <c:numFmt formatCode="0.0%"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63758464"/>
        <c:crosses val="max"/>
        <c:crossBetween val="midCat"/>
      </c:valAx>
      <c:spPr>
        <a:noFill/>
        <a:ln w="0">
          <a:noFill/>
        </a:ln>
      </c:spPr>
    </c:plotArea>
    <c:legend>
      <c:legendPos val="b"/>
      <c:overlay val="0"/>
      <c:spPr>
        <a:noFill/>
        <a:ln w="0">
          <a:noFill/>
        </a:ln>
      </c:spPr>
      <c:txPr>
        <a:bodyPr/>
        <a:lstStyle/>
        <a:p>
          <a:pPr>
            <a:defRPr b="0" sz="1000" spc="-1" strike="noStrike">
              <a:solidFill>
                <a:srgbClr val="000000"/>
              </a:solidFill>
              <a:latin typeface="Calibri"/>
            </a:defRPr>
          </a:pPr>
        </a:p>
      </c:txPr>
    </c:legend>
    <c:plotVisOnly val="1"/>
    <c:dispBlanksAs val="gap"/>
  </c:chart>
  <c:spPr>
    <a:solidFill>
      <a:srgbClr val="ffffff"/>
    </a:solidFill>
    <a:ln w="9360">
      <a:solidFill>
        <a:srgbClr val="d9d9d9"/>
      </a:solidFill>
      <a:round/>
    </a:ln>
  </c:spPr>
</c:chartSpace>
</file>

<file path=xl/charts/chart5.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lang="en-US" sz="1800" spc="-1" strike="noStrike">
                <a:solidFill>
                  <a:srgbClr val="000000"/>
                </a:solidFill>
                <a:latin typeface="Calibri"/>
              </a:defRPr>
            </a:pPr>
            <a:r>
              <a:rPr b="1" lang="en-US" sz="1800" spc="-1" strike="noStrike">
                <a:solidFill>
                  <a:srgbClr val="000000"/>
                </a:solidFill>
                <a:latin typeface="Calibri"/>
              </a:rPr>
              <a:t>BXP: Cap Rate vs. Leveraged Equity Yield (2016-2025)</a:t>
            </a:r>
          </a:p>
        </c:rich>
      </c:tx>
      <c:overlay val="0"/>
      <c:spPr>
        <a:noFill/>
        <a:ln w="0">
          <a:noFill/>
        </a:ln>
      </c:spPr>
    </c:title>
    <c:autoTitleDeleted val="0"/>
    <c:plotArea>
      <c:layout>
        <c:manualLayout>
          <c:layoutTarget val="inner"/>
          <c:xMode val="edge"/>
          <c:yMode val="edge"/>
          <c:x val="0.100072876639724"/>
          <c:y val="0.140237324703344"/>
          <c:w val="0.799092354577978"/>
          <c:h val="0.679457543535214"/>
        </c:manualLayout>
      </c:layout>
      <c:barChart>
        <c:barDir val="col"/>
        <c:grouping val="clustered"/>
        <c:varyColors val="0"/>
        <c:ser>
          <c:idx val="0"/>
          <c:order val="0"/>
          <c:tx>
            <c:strRef>
              <c:f>'BXP vs Market'!$F$3</c:f>
              <c:strCache>
                <c:ptCount val="1"/>
                <c:pt idx="0">
                  <c:v>Leverage Contribution: Lev Yield less Cap Rate (pp)</c:v>
                </c:pt>
              </c:strCache>
            </c:strRef>
          </c:tx>
          <c:spPr>
            <a:solidFill>
              <a:srgbClr val="9dbb9d"/>
            </a:solidFill>
            <a:ln w="0">
              <a:solidFill>
                <a:srgbClr val="7a9a7a"/>
              </a:solidFill>
            </a:ln>
          </c:spPr>
          <c:invertIfNegative val="0"/>
          <c:dLbls>
            <c:txPr>
              <a:bodyPr wrap="square"/>
              <a:lstStyle/>
              <a:p>
                <a:pPr>
                  <a:defRPr b="0" sz="1000" spc="-1" strike="noStrike">
                    <a:solidFill>
                      <a:srgbClr val="000000"/>
                    </a:solidFill>
                    <a:latin typeface="Calibri"/>
                  </a:defRPr>
                </a:pPr>
              </a:p>
            </c:txPr>
            <c:dLblPos val="outEnd"/>
            <c:showLegendKey val="0"/>
            <c:showVal val="0"/>
            <c:showCatName val="0"/>
            <c:showSerName val="0"/>
            <c:showPercent val="0"/>
            <c:separator>; </c:separator>
            <c:showLeaderLines val="0"/>
            <c:extLst>
              <c:ext xmlns:c15="http://schemas.microsoft.com/office/drawing/2012/chart" uri="{CE6537A1-D6FC-4f65-9D91-7224C49458BB}">
                <c15:showLeaderLines val="0"/>
              </c:ext>
            </c:extLst>
          </c:dLbls>
          <c:cat>
            <c:strRef>
              <c:f>'BXP vs Market'!$A$4:$A$13</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f>'BXP vs Market'!$F$4:$F$13</c:f>
              <c:numCache>
                <c:formatCode>0.00%</c:formatCode>
                <c:ptCount val="10"/>
                <c:pt idx="0">
                  <c:v>0.00526069665363241</c:v>
                </c:pt>
                <c:pt idx="1">
                  <c:v>0.00606641228676281</c:v>
                </c:pt>
                <c:pt idx="2">
                  <c:v>0.0105006645341399</c:v>
                </c:pt>
                <c:pt idx="3">
                  <c:v>0.00797403945411534</c:v>
                </c:pt>
                <c:pt idx="4">
                  <c:v>0.0215260667065546</c:v>
                </c:pt>
                <c:pt idx="5">
                  <c:v>0.0151307015779677</c:v>
                </c:pt>
                <c:pt idx="6">
                  <c:v>0.0572003826780256</c:v>
                </c:pt>
                <c:pt idx="7">
                  <c:v>0.0487191226008768</c:v>
                </c:pt>
                <c:pt idx="8">
                  <c:v>0.0417385789323335</c:v>
                </c:pt>
                <c:pt idx="9">
                  <c:v>0.0565358270352631</c:v>
                </c:pt>
              </c:numCache>
            </c:numRef>
          </c:val>
        </c:ser>
        <c:gapWidth val="80"/>
        <c:overlap val="0"/>
        <c:axId val="46412102"/>
        <c:axId val="37282233"/>
      </c:barChart>
      <c:lineChart>
        <c:grouping val="standard"/>
        <c:varyColors val="0"/>
        <c:ser>
          <c:idx val="1"/>
          <c:order val="1"/>
          <c:tx>
            <c:strRef>
              <c:f>'BXP vs Market'!$B$3</c:f>
              <c:strCache>
                <c:ptCount val="1"/>
                <c:pt idx="0">
                  <c:v>BXP Stabilized Implied Cap Rate (%)</c:v>
                </c:pt>
              </c:strCache>
            </c:strRef>
          </c:tx>
          <c:spPr>
            <a:solidFill>
              <a:srgbClr val="a31f34"/>
            </a:solidFill>
            <a:ln w="28080">
              <a:solidFill>
                <a:srgbClr val="a31f34"/>
              </a:solidFill>
              <a:round/>
            </a:ln>
          </c:spPr>
          <c:marker>
            <c:symbol val="circle"/>
            <c:size val="6"/>
            <c:spPr>
              <a:solidFill>
                <a:srgbClr val="a31f34"/>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0"/>
            <c:extLst>
              <c:ext xmlns:c15="http://schemas.microsoft.com/office/drawing/2012/chart" uri="{CE6537A1-D6FC-4f65-9D91-7224C49458BB}">
                <c15:showLeaderLines val="0"/>
              </c:ext>
            </c:extLst>
          </c:dLbls>
          <c:cat>
            <c:strRef>
              <c:f>'BXP vs Market'!$A$4:$A$13</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f>'BXP vs Market'!$B$4:$B$13</c:f>
              <c:numCache>
                <c:formatCode>0.00%</c:formatCode>
                <c:ptCount val="10"/>
                <c:pt idx="0">
                  <c:v>0.0502764275314892</c:v>
                </c:pt>
                <c:pt idx="1">
                  <c:v>0.0486146481215886</c:v>
                </c:pt>
                <c:pt idx="2">
                  <c:v>0.0526064414166118</c:v>
                </c:pt>
                <c:pt idx="3">
                  <c:v>0.0503492276370892</c:v>
                </c:pt>
                <c:pt idx="4">
                  <c:v>0.0575633273487352</c:v>
                </c:pt>
                <c:pt idx="5">
                  <c:v>0.0549651884353238</c:v>
                </c:pt>
                <c:pt idx="6">
                  <c:v>0.0748174327247469</c:v>
                </c:pt>
                <c:pt idx="7">
                  <c:v>0.0728110342805111</c:v>
                </c:pt>
                <c:pt idx="8">
                  <c:v>0.0711935318586347</c:v>
                </c:pt>
                <c:pt idx="9">
                  <c:v>0.0748682826340019</c:v>
                </c:pt>
              </c:numCache>
            </c:numRef>
          </c:val>
          <c:smooth val="0"/>
        </c:ser>
        <c:ser>
          <c:idx val="2"/>
          <c:order val="2"/>
          <c:tx>
            <c:strRef>
              <c:f>'BXP vs Market'!$E$3</c:f>
              <c:strCache>
                <c:ptCount val="1"/>
                <c:pt idx="0">
                  <c:v>BXP Stabilized Leveraged Equity Yield (%)</c:v>
                </c:pt>
              </c:strCache>
            </c:strRef>
          </c:tx>
          <c:spPr>
            <a:solidFill>
              <a:srgbClr val="3a3a3a"/>
            </a:solidFill>
            <a:ln w="28080">
              <a:solidFill>
                <a:srgbClr val="3a3a3a"/>
              </a:solidFill>
              <a:round/>
            </a:ln>
          </c:spPr>
          <c:marker>
            <c:symbol val="circle"/>
            <c:size val="6"/>
            <c:spPr>
              <a:solidFill>
                <a:srgbClr val="3a3a3a"/>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0"/>
            <c:extLst>
              <c:ext xmlns:c15="http://schemas.microsoft.com/office/drawing/2012/chart" uri="{CE6537A1-D6FC-4f65-9D91-7224C49458BB}">
                <c15:showLeaderLines val="0"/>
              </c:ext>
            </c:extLst>
          </c:dLbls>
          <c:cat>
            <c:strRef>
              <c:f>'BXP vs Market'!$A$4:$A$13</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f>'BXP vs Market'!$E$4:$E$13</c:f>
              <c:numCache>
                <c:formatCode>0.00%</c:formatCode>
                <c:ptCount val="10"/>
                <c:pt idx="0">
                  <c:v>0.0555371241851216</c:v>
                </c:pt>
                <c:pt idx="1">
                  <c:v>0.0546810604083514</c:v>
                </c:pt>
                <c:pt idx="2">
                  <c:v>0.0631071059507517</c:v>
                </c:pt>
                <c:pt idx="3">
                  <c:v>0.0583232670912045</c:v>
                </c:pt>
                <c:pt idx="4">
                  <c:v>0.0790893940552898</c:v>
                </c:pt>
                <c:pt idx="5">
                  <c:v>0.0700958900132915</c:v>
                </c:pt>
                <c:pt idx="6">
                  <c:v>0.132017815402772</c:v>
                </c:pt>
                <c:pt idx="7">
                  <c:v>0.121530156881388</c:v>
                </c:pt>
                <c:pt idx="8">
                  <c:v>0.112932110790968</c:v>
                </c:pt>
                <c:pt idx="9">
                  <c:v>0.131404109669265</c:v>
                </c:pt>
              </c:numCache>
            </c:numRef>
          </c:val>
          <c:smooth val="0"/>
        </c:ser>
        <c:hiLowLines>
          <c:spPr>
            <a:ln w="0">
              <a:noFill/>
            </a:ln>
          </c:spPr>
        </c:hiLowLines>
        <c:marker val="1"/>
        <c:axId val="70046776"/>
        <c:axId val="51169132"/>
      </c:lineChart>
      <c:catAx>
        <c:axId val="46412102"/>
        <c:scaling>
          <c:orientation val="minMax"/>
        </c:scaling>
        <c:delete val="0"/>
        <c:axPos val="b"/>
        <c:numFmt formatCode="General" sourceLinked="0"/>
        <c:majorTickMark val="none"/>
        <c:minorTickMark val="none"/>
        <c:tickLblPos val="low"/>
        <c:spPr>
          <a:ln w="0">
            <a:solidFill>
              <a:srgbClr val="b3b3b3"/>
            </a:solidFill>
          </a:ln>
        </c:spPr>
        <c:txPr>
          <a:bodyPr/>
          <a:lstStyle/>
          <a:p>
            <a:pPr>
              <a:defRPr b="0" sz="1000" spc="-1" strike="noStrike">
                <a:solidFill>
                  <a:srgbClr val="000000"/>
                </a:solidFill>
                <a:latin typeface="Calibri"/>
              </a:defRPr>
            </a:pPr>
          </a:p>
        </c:txPr>
        <c:crossAx val="37282233"/>
        <c:crosses val="autoZero"/>
        <c:auto val="1"/>
        <c:lblAlgn val="ctr"/>
        <c:lblOffset val="100"/>
        <c:noMultiLvlLbl val="0"/>
      </c:catAx>
      <c:valAx>
        <c:axId val="37282233"/>
        <c:scaling>
          <c:orientation val="minMax"/>
        </c:scaling>
        <c:delete val="0"/>
        <c:axPos val="l"/>
        <c:majorGridlines>
          <c:spPr>
            <a:ln w="0">
              <a:solidFill>
                <a:srgbClr val="b3b3b3"/>
              </a:solidFill>
            </a:ln>
          </c:spPr>
        </c:majorGridlines>
        <c:title>
          <c:tx>
            <c:rich>
              <a:bodyPr rot="-5400000"/>
              <a:lstStyle/>
              <a:p>
                <a:pPr>
                  <a:defRPr b="1" lang="en-US" sz="1000" spc="-1" strike="noStrike">
                    <a:solidFill>
                      <a:srgbClr val="000000"/>
                    </a:solidFill>
                    <a:latin typeface="Calibri"/>
                  </a:defRPr>
                </a:pPr>
                <a:r>
                  <a:rPr b="1" lang="en-US" sz="1000" spc="-1" strike="noStrike">
                    <a:solidFill>
                      <a:srgbClr val="000000"/>
                    </a:solidFill>
                    <a:latin typeface="Calibri"/>
                  </a:rPr>
                  <a:t>Leverage contribution (pct pts)</a:t>
                </a:r>
              </a:p>
            </c:rich>
          </c:tx>
          <c:overlay val="0"/>
          <c:spPr>
            <a:noFill/>
            <a:ln w="0">
              <a:noFill/>
            </a:ln>
          </c:spPr>
        </c:title>
        <c:numFmt formatCode="0.0%"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46412102"/>
        <c:crosses val="autoZero"/>
        <c:crossBetween val="between"/>
      </c:valAx>
      <c:catAx>
        <c:axId val="70046776"/>
        <c:scaling>
          <c:orientation val="minMax"/>
        </c:scaling>
        <c:delete val="1"/>
        <c:axPos val="t"/>
        <c:numFmt formatCode="General" sourceLinked="1"/>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51169132"/>
        <c:auto val="1"/>
        <c:lblAlgn val="ctr"/>
        <c:lblOffset val="100"/>
        <c:noMultiLvlLbl val="0"/>
      </c:catAx>
      <c:valAx>
        <c:axId val="51169132"/>
        <c:scaling>
          <c:orientation val="minMax"/>
        </c:scaling>
        <c:delete val="0"/>
        <c:axPos val="r"/>
        <c:title>
          <c:tx>
            <c:rich>
              <a:bodyPr rot="-5400000"/>
              <a:lstStyle/>
              <a:p>
                <a:pPr>
                  <a:defRPr b="1" lang="en-US" sz="1000" spc="-1" strike="noStrike">
                    <a:solidFill>
                      <a:srgbClr val="000000"/>
                    </a:solidFill>
                    <a:latin typeface="Calibri"/>
                  </a:defRPr>
                </a:pPr>
                <a:r>
                  <a:rPr b="1" lang="en-US" sz="1000" spc="-1" strike="noStrike">
                    <a:solidFill>
                      <a:srgbClr val="000000"/>
                    </a:solidFill>
                    <a:latin typeface="Calibri"/>
                  </a:rPr>
                  <a:t>Yield (%)</a:t>
                </a:r>
              </a:p>
            </c:rich>
          </c:tx>
          <c:overlay val="0"/>
          <c:spPr>
            <a:noFill/>
            <a:ln w="0">
              <a:noFill/>
            </a:ln>
          </c:spPr>
        </c:title>
        <c:numFmt formatCode="0.0%"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70046776"/>
        <c:crosses val="max"/>
        <c:crossBetween val="between"/>
      </c:valAx>
      <c:spPr>
        <a:noFill/>
        <a:ln w="0">
          <a:noFill/>
        </a:ln>
      </c:spPr>
    </c:plotArea>
    <c:legend>
      <c:legendPos val="b"/>
      <c:overlay val="0"/>
      <c:spPr>
        <a:noFill/>
        <a:ln w="0">
          <a:noFill/>
        </a:ln>
      </c:spPr>
      <c:txPr>
        <a:bodyPr/>
        <a:lstStyle/>
        <a:p>
          <a:pPr>
            <a:defRPr b="0" sz="1000" spc="-1" strike="noStrike">
              <a:solidFill>
                <a:srgbClr val="000000"/>
              </a:solidFill>
              <a:latin typeface="Calibri"/>
            </a:defRPr>
          </a:pPr>
        </a:p>
      </c:txPr>
    </c:legend>
    <c:plotVisOnly val="1"/>
    <c:dispBlanksAs val="gap"/>
  </c:chart>
  <c:spPr>
    <a:solidFill>
      <a:srgbClr val="ffffff"/>
    </a:solidFill>
    <a:ln w="9360">
      <a:solidFill>
        <a:srgbClr val="d9d9d9"/>
      </a:solidFill>
      <a:round/>
    </a:ln>
  </c:spPr>
</c:chartSpace>
</file>

<file path=xl/charts/chart50.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lang="en-US" sz="1200" spc="-1" strike="noStrike">
                <a:solidFill>
                  <a:srgbClr val="000000"/>
                </a:solidFill>
                <a:latin typeface="Calibri"/>
              </a:defRPr>
            </a:pPr>
            <a:r>
              <a:rPr b="1" lang="en-US" sz="1200" spc="-1" strike="noStrike">
                <a:solidFill>
                  <a:srgbClr val="000000"/>
                </a:solidFill>
                <a:latin typeface="Calibri"/>
              </a:rPr>
              <a:t>Asking Rent and Market-RevPAF (Indexed, 2016 = 100) and Vacancy (2016-2025)</a:t>
            </a:r>
          </a:p>
        </c:rich>
      </c:tx>
      <c:overlay val="0"/>
      <c:spPr>
        <a:noFill/>
        <a:ln w="0">
          <a:noFill/>
        </a:ln>
      </c:spPr>
    </c:title>
    <c:autoTitleDeleted val="0"/>
    <c:plotArea>
      <c:layout>
        <c:manualLayout>
          <c:layoutTarget val="inner"/>
          <c:xMode val="edge"/>
          <c:yMode val="edge"/>
          <c:x val="0.100039750894395"/>
          <c:y val="0.160271228232393"/>
          <c:w val="0.799059228832649"/>
          <c:h val="0.619355832948066"/>
        </c:manualLayout>
      </c:layout>
      <c:scatterChart>
        <c:scatterStyle val="lineMarker"/>
        <c:varyColors val="0"/>
        <c:ser>
          <c:idx val="0"/>
          <c:order val="0"/>
          <c:tx>
            <c:strRef>
              <c:f>"CoStar Market Asking Rent (2016 = 100)"</c:f>
              <c:strCache>
                <c:ptCount val="1"/>
                <c:pt idx="0">
                  <c:v>CoStar Market Asking Rent (2016 = 100)</c:v>
                </c:pt>
              </c:strCache>
            </c:strRef>
          </c:tx>
          <c:spPr>
            <a:solidFill>
              <a:srgbClr val="1f3b57"/>
            </a:solidFill>
            <a:ln w="28440">
              <a:solidFill>
                <a:srgbClr val="1f3b57"/>
              </a:solidFill>
              <a:round/>
            </a:ln>
          </c:spPr>
          <c:marker>
            <c:symbol val="circle"/>
            <c:size val="5"/>
            <c:spPr>
              <a:solidFill>
                <a:srgbClr val="1f3b57"/>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xVal>
            <c:numRef>
              <c:f>'Composite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'Composite vs Market'!$X$4:$X$13</c:f>
              <c:numCache>
                <c:formatCode>#,##0</c:formatCode>
                <c:ptCount val="10"/>
                <c:pt idx="0">
                  <c:v>100</c:v>
                </c:pt>
                <c:pt idx="1">
                  <c:v>102.38303537313</c:v>
                </c:pt>
                <c:pt idx="2">
                  <c:v>105.483994409511</c:v>
                </c:pt>
                <c:pt idx="3">
                  <c:v>109.226783887186</c:v>
                </c:pt>
                <c:pt idx="4">
                  <c:v>107.527924825205</c:v>
                </c:pt>
                <c:pt idx="5">
                  <c:v>108.483307217894</c:v>
                </c:pt>
                <c:pt idx="6">
                  <c:v>110.5199236759</c:v>
                </c:pt>
                <c:pt idx="7">
                  <c:v>111.663849225915</c:v>
                </c:pt>
                <c:pt idx="8">
                  <c:v>113.852312861286</c:v>
                </c:pt>
                <c:pt idx="9">
                  <c:v>116.20527763663</c:v>
                </c:pt>
              </c:numCache>
            </c:numRef>
          </c:yVal>
          <c:smooth val="0"/>
        </c:ser>
        <c:ser>
          <c:idx val="1"/>
          <c:order val="1"/>
          <c:tx>
            <c:strRef>
              <c:f>"Green Street Market-RevPAF (2016 = 100)"</c:f>
              <c:strCache>
                <c:ptCount val="1"/>
                <c:pt idx="0">
                  <c:v>Green Street Market-RevPAF (2016 = 100)</c:v>
                </c:pt>
              </c:strCache>
            </c:strRef>
          </c:tx>
          <c:spPr>
            <a:solidFill>
              <a:srgbClr val="a31f34"/>
            </a:solidFill>
            <a:ln w="28440">
              <a:solidFill>
                <a:srgbClr val="a31f34"/>
              </a:solidFill>
              <a:round/>
            </a:ln>
          </c:spPr>
          <c:marker>
            <c:symbol val="square"/>
            <c:size val="5"/>
            <c:spPr>
              <a:solidFill>
                <a:srgbClr val="a31f34"/>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xVal>
            <c:numRef>
              <c:f>'Composite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'Composite vs Market'!$AC$4:$AC$13</c:f>
              <c:numCache>
                <c:formatCode>#,##0</c:formatCode>
                <c:ptCount val="10"/>
                <c:pt idx="0">
                  <c:v>100</c:v>
                </c:pt>
                <c:pt idx="1">
                  <c:v>100.975579</c:v>
                </c:pt>
                <c:pt idx="2">
                  <c:v>103.226424621733</c:v>
                </c:pt>
                <c:pt idx="3">
                  <c:v>106.89745976697</c:v>
                </c:pt>
                <c:pt idx="4">
                  <c:v>98.4649530678906</c:v>
                </c:pt>
                <c:pt idx="5">
                  <c:v>93.1790698234918</c:v>
                </c:pt>
                <c:pt idx="6">
                  <c:v>89.7142499062681</c:v>
                </c:pt>
                <c:pt idx="7">
                  <c:v>84.973646666976</c:v>
                </c:pt>
                <c:pt idx="8">
                  <c:v>83.3969988912113</c:v>
                </c:pt>
                <c:pt idx="9">
                  <c:v>83.4585992504723</c:v>
                </c:pt>
              </c:numCache>
            </c:numRef>
          </c:yVal>
          <c:smooth val="0"/>
        </c:ser>
        <c:axId val="19907080"/>
        <c:axId val="87527759"/>
      </c:scatterChart>
      <c:scatterChart>
        <c:scatterStyle val="lineMarker"/>
        <c:varyColors val="0"/>
        <c:ser>
          <c:idx val="2"/>
          <c:order val="2"/>
          <c:tx>
            <c:strRef>
              <c:f>"CoStar National Vacancy (%)"</c:f>
              <c:strCache>
                <c:ptCount val="1"/>
                <c:pt idx="0">
                  <c:v>CoStar National Vacancy (%)</c:v>
                </c:pt>
              </c:strCache>
            </c:strRef>
          </c:tx>
          <c:spPr>
            <a:solidFill>
              <a:srgbClr val="8a8a8a"/>
            </a:solidFill>
            <a:ln w="28440">
              <a:solidFill>
                <a:srgbClr val="8a8a8a"/>
              </a:solidFill>
              <a:prstDash val="dash"/>
              <a:round/>
            </a:ln>
          </c:spPr>
          <c:marker>
            <c:symbol val="diamond"/>
            <c:size val="4"/>
            <c:spPr>
              <a:solidFill>
                <a:srgbClr val="8a8a8a"/>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xVal>
            <c:numRef>
              <c:f>'Composite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'Composite vs Market'!$G$4:$G$13</c:f>
              <c:numCache>
                <c:formatCode>0.00%</c:formatCode>
                <c:ptCount val="10"/>
                <c:pt idx="0">
                  <c:v>0.0970735517913501</c:v>
                </c:pt>
                <c:pt idx="1">
                  <c:v>0.0954879748749349</c:v>
                </c:pt>
                <c:pt idx="2">
                  <c:v>0.0932114558152037</c:v>
                </c:pt>
                <c:pt idx="3">
                  <c:v>0.0935992552144097</c:v>
                </c:pt>
                <c:pt idx="4">
                  <c:v>0.107657163277639</c:v>
                </c:pt>
                <c:pt idx="5">
                  <c:v>0.118179744708771</c:v>
                </c:pt>
                <c:pt idx="6">
                  <c:v>0.123824681505529</c:v>
                </c:pt>
                <c:pt idx="7">
                  <c:v>0.134795325216733</c:v>
                </c:pt>
                <c:pt idx="8">
                  <c:v>0.139554020907488</c:v>
                </c:pt>
                <c:pt idx="9">
                  <c:v>0.140381422408093</c:v>
                </c:pt>
              </c:numCache>
            </c:numRef>
          </c:yVal>
          <c:smooth val="0"/>
        </c:ser>
        <c:axId val="12141356"/>
        <c:axId val="4862478"/>
      </c:scatterChart>
      <c:valAx>
        <c:axId val="19907080"/>
        <c:scaling>
          <c:orientation val="minMax"/>
        </c:scaling>
        <c:delete val="0"/>
        <c:axPos val="b"/>
        <c:numFmt formatCode="0" sourceLinked="0"/>
        <c:majorTickMark val="none"/>
        <c:minorTickMark val="none"/>
        <c:tickLblPos val="low"/>
        <c:spPr>
          <a:ln w="0">
            <a:solidFill>
              <a:srgbClr val="b3b3b3"/>
            </a:solidFill>
          </a:ln>
        </c:spPr>
        <c:txPr>
          <a:bodyPr/>
          <a:lstStyle/>
          <a:p>
            <a:pPr>
              <a:defRPr b="0" sz="1000" spc="-1" strike="noStrike">
                <a:solidFill>
                  <a:srgbClr val="000000"/>
                </a:solidFill>
                <a:latin typeface="Calibri"/>
              </a:defRPr>
            </a:pPr>
          </a:p>
        </c:txPr>
        <c:crossAx val="87527759"/>
        <c:crosses val="autoZero"/>
        <c:crossBetween val="midCat"/>
        <c:majorUnit val="1"/>
      </c:valAx>
      <c:valAx>
        <c:axId val="87527759"/>
        <c:scaling>
          <c:orientation val="minMax"/>
        </c:scaling>
        <c:delete val="0"/>
        <c:axPos val="l"/>
        <c:majorGridlines>
          <c:spPr>
            <a:ln w="0">
              <a:solidFill>
                <a:srgbClr val="b3b3b3"/>
              </a:solidFill>
            </a:ln>
          </c:spPr>
        </c:majorGridlines>
        <c:numFmt formatCode="0"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19907080"/>
        <c:crosses val="autoZero"/>
        <c:crossBetween val="midCat"/>
      </c:valAx>
      <c:valAx>
        <c:axId val="12141356"/>
        <c:scaling>
          <c:orientation val="minMax"/>
        </c:scaling>
        <c:delete val="1"/>
        <c:axPos val="t"/>
        <c:numFmt formatCode="General" sourceLinked="1"/>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4862478"/>
        <c:crossBetween val="midCat"/>
        <c:majorUnit val="1"/>
      </c:valAx>
      <c:valAx>
        <c:axId val="4862478"/>
        <c:scaling>
          <c:orientation val="minMax"/>
        </c:scaling>
        <c:delete val="0"/>
        <c:axPos val="r"/>
        <c:numFmt formatCode="0.0%"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12141356"/>
        <c:crosses val="max"/>
        <c:crossBetween val="midCat"/>
      </c:valAx>
      <c:spPr>
        <a:noFill/>
        <a:ln w="0">
          <a:noFill/>
        </a:ln>
      </c:spPr>
    </c:plotArea>
    <c:legend>
      <c:legendPos val="b"/>
      <c:overlay val="0"/>
      <c:spPr>
        <a:noFill/>
        <a:ln w="0">
          <a:noFill/>
        </a:ln>
      </c:spPr>
      <c:txPr>
        <a:bodyPr/>
        <a:lstStyle/>
        <a:p>
          <a:pPr>
            <a:defRPr b="0" sz="1000" spc="-1" strike="noStrike">
              <a:solidFill>
                <a:srgbClr val="000000"/>
              </a:solidFill>
              <a:latin typeface="Calibri"/>
            </a:defRPr>
          </a:pPr>
        </a:p>
      </c:txPr>
    </c:legend>
    <c:plotVisOnly val="1"/>
    <c:dispBlanksAs val="gap"/>
  </c:chart>
  <c:spPr>
    <a:solidFill>
      <a:srgbClr val="ffffff"/>
    </a:solidFill>
    <a:ln w="9360">
      <a:solidFill>
        <a:srgbClr val="d9d9d9"/>
      </a:solidFill>
      <a:round/>
    </a:ln>
  </c:spPr>
</c:chartSpace>
</file>

<file path=xl/charts/chart51.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lang="en-US" sz="1200" spc="-1" strike="noStrike">
                <a:solidFill>
                  <a:srgbClr val="000000"/>
                </a:solidFill>
                <a:latin typeface="Calibri"/>
              </a:defRPr>
            </a:pPr>
            <a:r>
              <a:rPr b="1" lang="en-US" sz="1200" spc="-1" strike="noStrike">
                <a:solidFill>
                  <a:srgbClr val="000000"/>
                </a:solidFill>
                <a:latin typeface="Calibri"/>
              </a:rPr>
              <a:t>Supply Reduction and Forecast Revenue Recovery (2016-2030): Market-RevPAF Growth
Green Street, 51-market weighted average; dashed segment is the Green Street forecast (2026-2030).</a:t>
            </a:r>
          </a:p>
        </c:rich>
      </c:tx>
      <c:overlay val="0"/>
      <c:spPr>
        <a:noFill/>
        <a:ln w="0">
          <a:noFill/>
        </a:ln>
      </c:spPr>
    </c:title>
    <c:autoTitleDeleted val="0"/>
    <c:plotArea>
      <c:layout>
        <c:manualLayout>
          <c:layoutTarget val="inner"/>
          <c:xMode val="edge"/>
          <c:yMode val="edge"/>
          <c:x val="0.100039750894395"/>
          <c:y val="0.160271228232393"/>
          <c:w val="0.799059228832649"/>
          <c:h val="0.619355832948066"/>
        </c:manualLayout>
      </c:layout>
      <c:scatterChart>
        <c:scatterStyle val="lineMarker"/>
        <c:varyColors val="0"/>
        <c:ser>
          <c:idx val="0"/>
          <c:order val="0"/>
          <c:tx>
            <c:strRef>
              <c:f>"Market-RevPAF Growth, actual"</c:f>
              <c:strCache>
                <c:ptCount val="1"/>
                <c:pt idx="0">
                  <c:v>Market-RevPAF Growth, actual</c:v>
                </c:pt>
              </c:strCache>
            </c:strRef>
          </c:tx>
          <c:spPr>
            <a:solidFill>
              <a:srgbClr val="a31f34"/>
            </a:solidFill>
            <a:ln w="28440">
              <a:solidFill>
                <a:srgbClr val="a31f34"/>
              </a:solidFill>
              <a:round/>
            </a:ln>
          </c:spPr>
          <c:marker>
            <c:symbol val="circle"/>
            <c:size val="5"/>
            <c:spPr>
              <a:solidFill>
                <a:srgbClr val="a31f34"/>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0"/>
            <c:extLst>
              <c:ext xmlns:c15="http://schemas.microsoft.com/office/drawing/2012/chart" uri="{CE6537A1-D6FC-4f65-9D91-7224C49458BB}">
                <c15:showLeaderLines val="0"/>
              </c:ext>
            </c:extLst>
          </c:dLbls>
          <c:xVal>
            <c:numRef>
              <c:f>'Green Street National'!$A$4:$A$13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'Green Street National'!$C$4:$C$13</c:f>
              <c:numCache>
                <c:formatCode>0.00%</c:formatCode>
                <c:ptCount val="10"/>
                <c:pt idx="0">
                  <c:v>0.01895593</c:v>
                </c:pt>
                <c:pt idx="1">
                  <c:v>0.00975579</c:v>
                </c:pt>
                <c:pt idx="2">
                  <c:v>0.02229099</c:v>
                </c:pt>
                <c:pt idx="3">
                  <c:v>0.03556294</c:v>
                </c:pt>
                <c:pt idx="4">
                  <c:v>-0.07888407</c:v>
                </c:pt>
                <c:pt idx="5">
                  <c:v>-0.05368289</c:v>
                </c:pt>
                <c:pt idx="6">
                  <c:v>-0.03718453</c:v>
                </c:pt>
                <c:pt idx="7">
                  <c:v>-0.05284114</c:v>
                </c:pt>
                <c:pt idx="8">
                  <c:v>-0.01855455</c:v>
                </c:pt>
                <c:pt idx="9">
                  <c:v>0.00073864</c:v>
                </c:pt>
              </c:numCache>
            </c:numRef>
          </c:yVal>
          <c:smooth val="0"/>
        </c:ser>
        <c:ser>
          <c:idx val="1"/>
          <c:order val="1"/>
          <c:tx>
            <c:strRef>
              <c:f>"Market-RevPAF Growth, Green Street forecast"</c:f>
              <c:strCache>
                <c:ptCount val="1"/>
                <c:pt idx="0">
                  <c:v>Market-RevPAF Growth, Green Street forecast</c:v>
                </c:pt>
              </c:strCache>
            </c:strRef>
          </c:tx>
          <c:spPr>
            <a:solidFill>
              <a:srgbClr val="a31f34"/>
            </a:solidFill>
            <a:ln w="28440">
              <a:solidFill>
                <a:srgbClr val="a31f34"/>
              </a:solidFill>
              <a:prstDash val="dash"/>
              <a:round/>
            </a:ln>
          </c:spPr>
          <c:marker>
            <c:symbol val="circle"/>
            <c:size val="5"/>
            <c:spPr>
              <a:solidFill>
                <a:srgbClr val="a31f34"/>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0"/>
            <c:extLst>
              <c:ext xmlns:c15="http://schemas.microsoft.com/office/drawing/2012/chart" uri="{CE6537A1-D6FC-4f65-9D91-7224C49458BB}">
                <c15:showLeaderLines val="0"/>
              </c:ext>
            </c:extLst>
          </c:dLbls>
          <c:xVal>
            <c:numRef>
              <c:f>'Green Street National'!$A$13:$A$18</c:f>
              <c:numCache>
                <c:formatCode>General</c:formatCode>
                <c:ptCount val="6"/>
                <c:pt idx="0">
                  <c:v>2025</c:v>
                </c:pt>
                <c:pt idx="1">
                  <c:v>2026</c:v>
                </c:pt>
                <c:pt idx="2">
                  <c:v>2027</c:v>
                </c:pt>
                <c:pt idx="3">
                  <c:v>2028</c:v>
                </c:pt>
                <c:pt idx="4">
                  <c:v>2029</c:v>
                </c:pt>
                <c:pt idx="5">
                  <c:v>2030</c:v>
                </c:pt>
              </c:numCache>
            </c:numRef>
          </c:xVal>
          <c:yVal>
            <c:numRef>
              <c:f>'Green Street National'!$C$13:$C$18</c:f>
              <c:numCache>
                <c:formatCode>0.00%</c:formatCode>
                <c:ptCount val="6"/>
                <c:pt idx="0">
                  <c:v>0.00073864</c:v>
                </c:pt>
                <c:pt idx="1">
                  <c:v>0.02641028</c:v>
                </c:pt>
                <c:pt idx="2">
                  <c:v>0.03173914</c:v>
                </c:pt>
                <c:pt idx="3">
                  <c:v>0.02121428</c:v>
                </c:pt>
                <c:pt idx="4">
                  <c:v>0.02121284</c:v>
                </c:pt>
                <c:pt idx="5">
                  <c:v>0.02121141</c:v>
                </c:pt>
              </c:numCache>
            </c:numRef>
          </c:yVal>
          <c:smooth val="0"/>
        </c:ser>
        <c:axId val="99607612"/>
        <c:axId val="35853487"/>
      </c:scatterChart>
      <c:valAx>
        <c:axId val="99607612"/>
        <c:scaling>
          <c:orientation val="minMax"/>
        </c:scaling>
        <c:delete val="0"/>
        <c:axPos val="b"/>
        <c:numFmt formatCode="0" sourceLinked="0"/>
        <c:majorTickMark val="none"/>
        <c:minorTickMark val="none"/>
        <c:tickLblPos val="low"/>
        <c:spPr>
          <a:ln w="0">
            <a:solidFill>
              <a:srgbClr val="b3b3b3"/>
            </a:solidFill>
          </a:ln>
        </c:spPr>
        <c:txPr>
          <a:bodyPr/>
          <a:lstStyle/>
          <a:p>
            <a:pPr>
              <a:defRPr b="0" sz="1000" spc="-1" strike="noStrike">
                <a:solidFill>
                  <a:srgbClr val="000000"/>
                </a:solidFill>
                <a:latin typeface="Calibri"/>
              </a:defRPr>
            </a:pPr>
          </a:p>
        </c:txPr>
        <c:crossAx val="35853487"/>
        <c:crosses val="autoZero"/>
        <c:crossBetween val="midCat"/>
        <c:majorUnit val="1"/>
      </c:valAx>
      <c:valAx>
        <c:axId val="35853487"/>
        <c:scaling>
          <c:orientation val="minMax"/>
        </c:scaling>
        <c:delete val="0"/>
        <c:axPos val="l"/>
        <c:majorGridlines>
          <c:spPr>
            <a:ln w="0">
              <a:solidFill>
                <a:srgbClr val="b3b3b3"/>
              </a:solidFill>
            </a:ln>
          </c:spPr>
        </c:majorGridlines>
        <c:numFmt formatCode="0%"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99607612"/>
        <c:crosses val="autoZero"/>
        <c:crossBetween val="midCat"/>
      </c:valAx>
      <c:spPr>
        <a:noFill/>
        <a:ln w="0">
          <a:noFill/>
        </a:ln>
      </c:spPr>
    </c:plotArea>
    <c:legend>
      <c:legendPos val="b"/>
      <c:overlay val="0"/>
      <c:spPr>
        <a:noFill/>
        <a:ln w="0">
          <a:noFill/>
        </a:ln>
      </c:spPr>
      <c:txPr>
        <a:bodyPr/>
        <a:lstStyle/>
        <a:p>
          <a:pPr>
            <a:defRPr b="0" sz="1000" spc="-1" strike="noStrike">
              <a:solidFill>
                <a:srgbClr val="000000"/>
              </a:solidFill>
              <a:latin typeface="Calibri"/>
            </a:defRPr>
          </a:pPr>
        </a:p>
      </c:txPr>
    </c:legend>
    <c:plotVisOnly val="1"/>
    <c:dispBlanksAs val="gap"/>
  </c:chart>
  <c:spPr>
    <a:solidFill>
      <a:srgbClr val="ffffff"/>
    </a:solidFill>
    <a:ln w="9360">
      <a:solidFill>
        <a:srgbClr val="d9d9d9"/>
      </a:solidFill>
      <a:round/>
    </a:ln>
  </c:spPr>
</c:chartSpace>
</file>

<file path=xl/charts/chart52.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lang="en-US" sz="1200" spc="-1" strike="noStrike">
                <a:solidFill>
                  <a:srgbClr val="000000"/>
                </a:solidFill>
                <a:latin typeface="Calibri"/>
              </a:defRPr>
            </a:pPr>
            <a:r>
              <a:rPr b="1" lang="en-US" sz="1200" spc="-1" strike="noStrike">
                <a:solidFill>
                  <a:srgbClr val="000000"/>
                </a:solidFill>
                <a:latin typeface="Calibri"/>
              </a:rPr>
              <a:t>Supply Reduction and Forecast Revenue Recovery (2016-2030): Supply Growth (% of Stock)
Green Street, 51-market weighted average; lighter bars are the Green Street forecast (2026-2030).</a:t>
            </a:r>
          </a:p>
        </c:rich>
      </c:tx>
      <c:overlay val="0"/>
      <c:spPr>
        <a:noFill/>
        <a:ln w="0">
          <a:noFill/>
        </a:ln>
      </c:spPr>
    </c:title>
    <c:autoTitleDeleted val="0"/>
    <c:plotArea>
      <c:layout>
        <c:manualLayout>
          <c:layoutTarget val="inner"/>
          <c:xMode val="edge"/>
          <c:yMode val="edge"/>
          <c:x val="0.100039750894395"/>
          <c:y val="0.160271228232393"/>
          <c:w val="0.799059228832649"/>
          <c:h val="0.619355832948066"/>
        </c:manualLayout>
      </c:layout>
      <c:barChart>
        <c:barDir val="col"/>
        <c:grouping val="stacked"/>
        <c:varyColors val="0"/>
        <c:ser>
          <c:idx val="0"/>
          <c:order val="0"/>
          <c:tx>
            <c:strRef>
              <c:f>"Supply Growth, actual"</c:f>
              <c:strCache>
                <c:ptCount val="1"/>
                <c:pt idx="0">
                  <c:v>Supply Growth, actual</c:v>
                </c:pt>
              </c:strCache>
            </c:strRef>
          </c:tx>
          <c:spPr>
            <a:solidFill>
              <a:srgbClr val="1f3b57"/>
            </a:solidFill>
            <a:ln w="0">
              <a:noFill/>
            </a:ln>
          </c:spPr>
          <c:invertIfNegative val="0"/>
          <c:dLbls>
            <c:txPr>
              <a:bodyPr wrap="square"/>
              <a:lstStyle/>
              <a:p>
                <a:pPr>
                  <a:defRPr b="0" sz="1000" spc="-1" strike="noStrike">
                    <a:solidFill>
                      <a:srgbClr val="000000"/>
                    </a:solidFill>
                    <a:latin typeface="Calibri"/>
                  </a:defRPr>
                </a:pPr>
              </a:p>
            </c:txPr>
            <c:dLblPos val="ctr"/>
            <c:showLegendKey val="0"/>
            <c:showVal val="0"/>
            <c:showCatName val="0"/>
            <c:showSerName val="0"/>
            <c:showPercent val="0"/>
            <c:separator>; </c:separator>
            <c:showLeaderLines val="0"/>
            <c:extLst>
              <c:ext xmlns:c15="http://schemas.microsoft.com/office/drawing/2012/chart" uri="{CE6537A1-D6FC-4f65-9D91-7224C49458BB}">
                <c15:showLeaderLines val="0"/>
              </c:ext>
            </c:extLst>
          </c:dLbls>
          <c:cat>
            <c:strRef>
              <c:f>'Green Street National'!$A$4:$A$18</c:f>
              <c:strCache>
                <c:ptCount val="15"/>
                <c:pt idx="0">
                  <c:v>2016</c:v>
                </c:pt>
                <c:pt idx="1">
                  <c:v>2017</c:v>
                </c:pt>
                <c:pt idx="2">
                  <c:v>2018</c:v>
                </c:pt>
                <c:pt idx="3">
                  <c:v>2019</c:v>
                </c:pt>
                <c:pt idx="4">
                  <c:v>2020</c:v>
                </c:pt>
                <c:pt idx="5">
                  <c:v>2021</c:v>
                </c:pt>
                <c:pt idx="6">
                  <c:v>2022</c:v>
                </c:pt>
                <c:pt idx="7">
                  <c:v>2023</c:v>
                </c:pt>
                <c:pt idx="8">
                  <c:v>2024</c:v>
                </c:pt>
                <c:pt idx="9">
                  <c:v>2025</c:v>
                </c:pt>
                <c:pt idx="10">
                  <c:v>2026</c:v>
                </c:pt>
                <c:pt idx="11">
                  <c:v>2027</c:v>
                </c:pt>
                <c:pt idx="12">
                  <c:v>2028</c:v>
                </c:pt>
                <c:pt idx="13">
                  <c:v>2029</c:v>
                </c:pt>
                <c:pt idx="14">
                  <c:v>2030</c:v>
                </c:pt>
              </c:strCache>
            </c:strRef>
          </c:cat>
          <c:val>
            <c:numRef>
              <c:f>'Green Street National'!$H$4:$H$18</c:f>
              <c:numCache>
                <c:formatCode>0.00%</c:formatCode>
                <c:ptCount val="15"/>
                <c:pt idx="0">
                  <c:v>0.01185798</c:v>
                </c:pt>
                <c:pt idx="1">
                  <c:v>0.0145198</c:v>
                </c:pt>
                <c:pt idx="2">
                  <c:v>0.01405258</c:v>
                </c:pt>
                <c:pt idx="3">
                  <c:v>0.01295095</c:v>
                </c:pt>
                <c:pt idx="4">
                  <c:v>0.01580595</c:v>
                </c:pt>
                <c:pt idx="5">
                  <c:v>0.01304371</c:v>
                </c:pt>
                <c:pt idx="6">
                  <c:v>0.00965422</c:v>
                </c:pt>
                <c:pt idx="7">
                  <c:v>0.00850896</c:v>
                </c:pt>
                <c:pt idx="8">
                  <c:v>0.00796357</c:v>
                </c:pt>
                <c:pt idx="9">
                  <c:v>0.004443</c:v>
                </c:pt>
              </c:numCache>
            </c:numRef>
          </c:val>
        </c:ser>
        <c:ser>
          <c:idx val="1"/>
          <c:order val="1"/>
          <c:tx>
            <c:strRef>
              <c:f>"Supply Growth, Green Street forecast"</c:f>
              <c:strCache>
                <c:ptCount val="1"/>
                <c:pt idx="0">
                  <c:v>Supply Growth, Green Street forecast</c:v>
                </c:pt>
              </c:strCache>
            </c:strRef>
          </c:tx>
          <c:spPr>
            <a:solidFill>
              <a:srgbClr val="a9bcd1"/>
            </a:solidFill>
            <a:ln w="0">
              <a:noFill/>
            </a:ln>
          </c:spPr>
          <c:invertIfNegative val="0"/>
          <c:dLbls>
            <c:txPr>
              <a:bodyPr wrap="square"/>
              <a:lstStyle/>
              <a:p>
                <a:pPr>
                  <a:defRPr b="0" sz="1000" spc="-1" strike="noStrike">
                    <a:solidFill>
                      <a:srgbClr val="000000"/>
                    </a:solidFill>
                    <a:latin typeface="Calibri"/>
                  </a:defRPr>
                </a:pPr>
              </a:p>
            </c:txPr>
            <c:dLblPos val="ctr"/>
            <c:showLegendKey val="0"/>
            <c:showVal val="0"/>
            <c:showCatName val="0"/>
            <c:showSerName val="0"/>
            <c:showPercent val="0"/>
            <c:separator>; </c:separator>
            <c:showLeaderLines val="0"/>
            <c:extLst>
              <c:ext xmlns:c15="http://schemas.microsoft.com/office/drawing/2012/chart" uri="{CE6537A1-D6FC-4f65-9D91-7224C49458BB}">
                <c15:showLeaderLines val="0"/>
              </c:ext>
            </c:extLst>
          </c:dLbls>
          <c:cat>
            <c:strRef>
              <c:f>'Green Street National'!$A$4:$A$18</c:f>
              <c:strCache>
                <c:ptCount val="15"/>
                <c:pt idx="0">
                  <c:v>2016</c:v>
                </c:pt>
                <c:pt idx="1">
                  <c:v>2017</c:v>
                </c:pt>
                <c:pt idx="2">
                  <c:v>2018</c:v>
                </c:pt>
                <c:pt idx="3">
                  <c:v>2019</c:v>
                </c:pt>
                <c:pt idx="4">
                  <c:v>2020</c:v>
                </c:pt>
                <c:pt idx="5">
                  <c:v>2021</c:v>
                </c:pt>
                <c:pt idx="6">
                  <c:v>2022</c:v>
                </c:pt>
                <c:pt idx="7">
                  <c:v>2023</c:v>
                </c:pt>
                <c:pt idx="8">
                  <c:v>2024</c:v>
                </c:pt>
                <c:pt idx="9">
                  <c:v>2025</c:v>
                </c:pt>
                <c:pt idx="10">
                  <c:v>2026</c:v>
                </c:pt>
                <c:pt idx="11">
                  <c:v>2027</c:v>
                </c:pt>
                <c:pt idx="12">
                  <c:v>2028</c:v>
                </c:pt>
                <c:pt idx="13">
                  <c:v>2029</c:v>
                </c:pt>
                <c:pt idx="14">
                  <c:v>2030</c:v>
                </c:pt>
              </c:strCache>
            </c:strRef>
          </c:cat>
          <c:val>
            <c:numRef>
              <c:f>'Green Street National'!$I$4:$I$18</c:f>
              <c:numCache>
                <c:formatCode>0.00%</c:formatCode>
                <c:ptCount val="15"/>
                <c:pt idx="10">
                  <c:v>0.00381869</c:v>
                </c:pt>
                <c:pt idx="11">
                  <c:v>0.00381869</c:v>
                </c:pt>
                <c:pt idx="12">
                  <c:v>0.00381869</c:v>
                </c:pt>
                <c:pt idx="13">
                  <c:v>0.00381869</c:v>
                </c:pt>
                <c:pt idx="14">
                  <c:v>0.00381869</c:v>
                </c:pt>
              </c:numCache>
            </c:numRef>
          </c:val>
        </c:ser>
        <c:gapWidth val="150"/>
        <c:overlap val="100"/>
        <c:axId val="15272370"/>
        <c:axId val="3900194"/>
      </c:barChart>
      <c:catAx>
        <c:axId val="15272370"/>
        <c:scaling>
          <c:orientation val="minMax"/>
        </c:scaling>
        <c:delete val="0"/>
        <c:axPos val="b"/>
        <c:numFmt formatCode="General" sourceLinked="0"/>
        <c:majorTickMark val="none"/>
        <c:minorTickMark val="none"/>
        <c:tickLblPos val="low"/>
        <c:spPr>
          <a:ln w="0">
            <a:solidFill>
              <a:srgbClr val="b3b3b3"/>
            </a:solidFill>
          </a:ln>
        </c:spPr>
        <c:txPr>
          <a:bodyPr/>
          <a:lstStyle/>
          <a:p>
            <a:pPr>
              <a:defRPr b="0" sz="1000" spc="-1" strike="noStrike">
                <a:solidFill>
                  <a:srgbClr val="000000"/>
                </a:solidFill>
                <a:latin typeface="Calibri"/>
              </a:defRPr>
            </a:pPr>
          </a:p>
        </c:txPr>
        <c:crossAx val="3900194"/>
        <c:crosses val="autoZero"/>
        <c:auto val="1"/>
        <c:lblAlgn val="ctr"/>
        <c:lblOffset val="100"/>
        <c:noMultiLvlLbl val="0"/>
      </c:catAx>
      <c:valAx>
        <c:axId val="3900194"/>
        <c:scaling>
          <c:orientation val="minMax"/>
        </c:scaling>
        <c:delete val="0"/>
        <c:axPos val="l"/>
        <c:majorGridlines>
          <c:spPr>
            <a:ln w="0">
              <a:solidFill>
                <a:srgbClr val="b3b3b3"/>
              </a:solidFill>
            </a:ln>
          </c:spPr>
        </c:majorGridlines>
        <c:numFmt formatCode="0.0%"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15272370"/>
        <c:crosses val="autoZero"/>
        <c:crossBetween val="between"/>
      </c:valAx>
      <c:spPr>
        <a:noFill/>
        <a:ln w="0">
          <a:noFill/>
        </a:ln>
      </c:spPr>
    </c:plotArea>
    <c:legend>
      <c:legendPos val="b"/>
      <c:overlay val="0"/>
      <c:spPr>
        <a:noFill/>
        <a:ln w="0">
          <a:noFill/>
        </a:ln>
      </c:spPr>
      <c:txPr>
        <a:bodyPr/>
        <a:lstStyle/>
        <a:p>
          <a:pPr>
            <a:defRPr b="0" sz="1000" spc="-1" strike="noStrike">
              <a:solidFill>
                <a:srgbClr val="000000"/>
              </a:solidFill>
              <a:latin typeface="Calibri"/>
            </a:defRPr>
          </a:pPr>
        </a:p>
      </c:txPr>
    </c:legend>
    <c:plotVisOnly val="1"/>
    <c:dispBlanksAs val="gap"/>
  </c:chart>
  <c:spPr>
    <a:solidFill>
      <a:srgbClr val="ffffff"/>
    </a:solidFill>
    <a:ln w="9360">
      <a:solidFill>
        <a:srgbClr val="d9d9d9"/>
      </a:solidFill>
      <a:round/>
    </a:ln>
  </c:spPr>
</c:chartSpace>
</file>

<file path=xl/charts/chart6.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lang="en-US" sz="1200" spc="-1" strike="noStrike">
                <a:solidFill>
                  <a:srgbClr val="000000"/>
                </a:solidFill>
                <a:latin typeface="Calibri"/>
              </a:defRPr>
            </a:pPr>
            <a:r>
              <a:rPr b="1" lang="en-US" sz="1200" spc="-1" strike="noStrike">
                <a:solidFill>
                  <a:srgbClr val="000000"/>
                </a:solidFill>
                <a:latin typeface="Calibri"/>
              </a:rPr>
              <a:t>Annual NOI (labeled YoY growth) and Stabilized TEV: Gross NOI Multiple (2016-2025)</a:t>
            </a:r>
          </a:p>
        </c:rich>
      </c:tx>
      <c:overlay val="0"/>
      <c:spPr>
        <a:noFill/>
        <a:ln w="0">
          <a:noFill/>
        </a:ln>
      </c:spPr>
    </c:title>
    <c:autoTitleDeleted val="0"/>
    <c:plotArea>
      <c:layout>
        <c:manualLayout>
          <c:layoutTarget val="inner"/>
          <c:xMode val="edge"/>
          <c:yMode val="edge"/>
          <c:x val="0.0900357758049556"/>
          <c:y val="0.200339035290492"/>
          <c:w val="0.819133430502186"/>
          <c:h val="0.559254122360918"/>
        </c:manualLayout>
      </c:layout>
      <c:barChart>
        <c:barDir val="col"/>
        <c:grouping val="stacked"/>
        <c:varyColors val="0"/>
        <c:ser>
          <c:idx val="0"/>
          <c:order val="0"/>
          <c:tx>
            <c:strRef>
              <c:f>"Annual NOI ($M)"</c:f>
              <c:strCache>
                <c:ptCount val="1"/>
                <c:pt idx="0">
                  <c:v>Annual NOI ($M)</c:v>
                </c:pt>
              </c:strCache>
            </c:strRef>
          </c:tx>
          <c:spPr>
            <a:solidFill>
              <a:srgbClr val="a31f34"/>
            </a:solidFill>
            <a:ln w="0">
              <a:noFill/>
            </a:ln>
          </c:spPr>
          <c:invertIfNegative val="0"/>
          <c:dPt>
            <c:idx val="1"/>
            <c:invertIfNegative val="0"/>
            <c:spPr>
              <a:solidFill>
                <a:srgbClr val="a31f34"/>
              </a:solidFill>
              <a:ln w="0">
                <a:noFill/>
              </a:ln>
            </c:spPr>
          </c:dPt>
          <c:dPt>
            <c:idx val="2"/>
            <c:invertIfNegative val="0"/>
            <c:spPr>
              <a:solidFill>
                <a:srgbClr val="a31f34"/>
              </a:solidFill>
              <a:ln w="0">
                <a:noFill/>
              </a:ln>
            </c:spPr>
          </c:dPt>
          <c:dPt>
            <c:idx val="3"/>
            <c:invertIfNegative val="0"/>
            <c:spPr>
              <a:solidFill>
                <a:srgbClr val="a31f34"/>
              </a:solidFill>
              <a:ln w="0">
                <a:noFill/>
              </a:ln>
            </c:spPr>
          </c:dPt>
          <c:dPt>
            <c:idx val="4"/>
            <c:invertIfNegative val="0"/>
            <c:spPr>
              <a:solidFill>
                <a:srgbClr val="a31f34"/>
              </a:solidFill>
              <a:ln w="0">
                <a:noFill/>
              </a:ln>
            </c:spPr>
          </c:dPt>
          <c:dPt>
            <c:idx val="5"/>
            <c:invertIfNegative val="0"/>
            <c:spPr>
              <a:solidFill>
                <a:srgbClr val="a31f34"/>
              </a:solidFill>
              <a:ln w="0">
                <a:noFill/>
              </a:ln>
            </c:spPr>
          </c:dPt>
          <c:dPt>
            <c:idx val="6"/>
            <c:invertIfNegative val="0"/>
            <c:spPr>
              <a:solidFill>
                <a:srgbClr val="a31f34"/>
              </a:solidFill>
              <a:ln w="0">
                <a:noFill/>
              </a:ln>
            </c:spPr>
          </c:dPt>
          <c:dPt>
            <c:idx val="7"/>
            <c:invertIfNegative val="0"/>
            <c:spPr>
              <a:solidFill>
                <a:srgbClr val="a31f34"/>
              </a:solidFill>
              <a:ln w="0">
                <a:noFill/>
              </a:ln>
            </c:spPr>
          </c:dPt>
          <c:dPt>
            <c:idx val="8"/>
            <c:invertIfNegative val="0"/>
            <c:spPr>
              <a:solidFill>
                <a:srgbClr val="a31f34"/>
              </a:solidFill>
              <a:ln w="0">
                <a:noFill/>
              </a:ln>
            </c:spPr>
          </c:dPt>
          <c:dPt>
            <c:idx val="9"/>
            <c:invertIfNegative val="0"/>
            <c:spPr>
              <a:solidFill>
                <a:srgbClr val="a31f34"/>
              </a:solidFill>
              <a:ln w="0">
                <a:noFill/>
              </a:ln>
            </c:spPr>
          </c:dPt>
          <c:dLbls>
            <c:dLbl>
              <c:idx val="0"/>
              <c:delete val="1"/>
            </c:dLbl>
            <c:dLbl>
              <c:idx val="1"/>
              <c:layout>
                <c:manualLayout>
                  <c:x val="0"/>
                  <c:y val="-0.06"/>
                </c:manualLayout>
              </c:layout>
              <c:spPr/>
              <c:txPr>
                <a:bodyPr/>
                <a:lstStyle/>
                <a:p>
                  <a:pPr>
                    <a:defRPr sz="1000" b="1">
                      <a:solidFill>
                        <a:srgbClr val="A31F34"/>
                      </a:solidFill>
                    </a:defRPr>
                  </a:pPr>
                  <a:endParaRPr lang="en-US"/>
                </a:p>
              </c:txPr>
              <c:dLblPos val="inEnd"/>
              <c:showLegendKey val="0"/>
              <c:showVal val="0"/>
              <c:showCatName val="0"/>
              <c:showSerName val="0"/>
              <c:showPercent val="0"/>
              <c:showBubbleSize val="0"/>
              <c:separator>; </c:separator>
              <c:extLst>
                <c:ext xmlns:c15="http://schemas.microsoft.com/office/drawing/2012/chart" uri="{CE6537A1-D6FC-4f65-9D91-7224C49458BB}">
                  <c15:showDataLabelsRange val="1"/>
                </c:ext>
              </c:extLst>
            </c:dLbl>
            <c:dLbl>
              <c:idx val="2"/>
              <c:layout>
                <c:manualLayout>
                  <c:x val="0"/>
                  <c:y val="-0.06"/>
                </c:manualLayout>
              </c:layout>
              <c:spPr/>
              <c:txPr>
                <a:bodyPr/>
                <a:lstStyle/>
                <a:p>
                  <a:pPr>
                    <a:defRPr sz="1000" b="1">
                      <a:solidFill>
                        <a:srgbClr val="A31F34"/>
                      </a:solidFill>
                    </a:defRPr>
                  </a:pPr>
                  <a:endParaRPr lang="en-US"/>
                </a:p>
              </c:txPr>
              <c:dLblPos val="inEnd"/>
              <c:showLegendKey val="0"/>
              <c:showVal val="0"/>
              <c:showCatName val="0"/>
              <c:showSerName val="0"/>
              <c:showPercent val="0"/>
              <c:showBubbleSize val="0"/>
              <c:separator>; </c:separator>
              <c:extLst>
                <c:ext xmlns:c15="http://schemas.microsoft.com/office/drawing/2012/chart" uri="{CE6537A1-D6FC-4f65-9D91-7224C49458BB}">
                  <c15:showDataLabelsRange val="1"/>
                </c:ext>
              </c:extLst>
            </c:dLbl>
            <c:dLbl>
              <c:idx val="3"/>
              <c:layout>
                <c:manualLayout>
                  <c:x val="0"/>
                  <c:y val="-0.06"/>
                </c:manualLayout>
              </c:layout>
              <c:spPr/>
              <c:txPr>
                <a:bodyPr/>
                <a:lstStyle/>
                <a:p>
                  <a:pPr>
                    <a:defRPr sz="1000" b="1">
                      <a:solidFill>
                        <a:srgbClr val="A31F34"/>
                      </a:solidFill>
                    </a:defRPr>
                  </a:pPr>
                  <a:endParaRPr lang="en-US"/>
                </a:p>
              </c:txPr>
              <c:dLblPos val="inEnd"/>
              <c:showLegendKey val="0"/>
              <c:showVal val="0"/>
              <c:showCatName val="0"/>
              <c:showSerName val="0"/>
              <c:showPercent val="0"/>
              <c:showBubbleSize val="0"/>
              <c:separator>; </c:separator>
              <c:extLst>
                <c:ext xmlns:c15="http://schemas.microsoft.com/office/drawing/2012/chart" uri="{CE6537A1-D6FC-4f65-9D91-7224C49458BB}">
                  <c15:showDataLabelsRange val="1"/>
                </c:ext>
              </c:extLst>
            </c:dLbl>
            <c:dLbl>
              <c:idx val="4"/>
              <c:layout>
                <c:manualLayout>
                  <c:x val="0"/>
                  <c:y val="-0.06"/>
                </c:manualLayout>
              </c:layout>
              <c:spPr/>
              <c:txPr>
                <a:bodyPr/>
                <a:lstStyle/>
                <a:p>
                  <a:pPr>
                    <a:defRPr sz="1000" b="1">
                      <a:solidFill>
                        <a:srgbClr val="A31F34"/>
                      </a:solidFill>
                    </a:defRPr>
                  </a:pPr>
                  <a:endParaRPr lang="en-US"/>
                </a:p>
              </c:txPr>
              <c:dLblPos val="inEnd"/>
              <c:showLegendKey val="0"/>
              <c:showVal val="0"/>
              <c:showCatName val="0"/>
              <c:showSerName val="0"/>
              <c:showPercent val="0"/>
              <c:showBubbleSize val="0"/>
              <c:separator>; </c:separator>
              <c:extLst>
                <c:ext xmlns:c15="http://schemas.microsoft.com/office/drawing/2012/chart" uri="{CE6537A1-D6FC-4f65-9D91-7224C49458BB}">
                  <c15:showDataLabelsRange val="1"/>
                </c:ext>
              </c:extLst>
            </c:dLbl>
            <c:dLbl>
              <c:idx val="5"/>
              <c:layout>
                <c:manualLayout>
                  <c:x val="0"/>
                  <c:y val="-0.06"/>
                </c:manualLayout>
              </c:layout>
              <c:spPr/>
              <c:txPr>
                <a:bodyPr/>
                <a:lstStyle/>
                <a:p>
                  <a:pPr>
                    <a:defRPr sz="1000" b="1">
                      <a:solidFill>
                        <a:srgbClr val="A31F34"/>
                      </a:solidFill>
                    </a:defRPr>
                  </a:pPr>
                  <a:endParaRPr lang="en-US"/>
                </a:p>
              </c:txPr>
              <c:dLblPos val="inEnd"/>
              <c:showLegendKey val="0"/>
              <c:showVal val="0"/>
              <c:showCatName val="0"/>
              <c:showSerName val="0"/>
              <c:showPercent val="0"/>
              <c:showBubbleSize val="0"/>
              <c:separator>; </c:separator>
              <c:extLst>
                <c:ext xmlns:c15="http://schemas.microsoft.com/office/drawing/2012/chart" uri="{CE6537A1-D6FC-4f65-9D91-7224C49458BB}">
                  <c15:showDataLabelsRange val="1"/>
                </c:ext>
              </c:extLst>
            </c:dLbl>
            <c:dLbl>
              <c:idx val="6"/>
              <c:layout>
                <c:manualLayout>
                  <c:x val="0"/>
                  <c:y val="-0.06"/>
                </c:manualLayout>
              </c:layout>
              <c:spPr/>
              <c:txPr>
                <a:bodyPr/>
                <a:lstStyle/>
                <a:p>
                  <a:pPr>
                    <a:defRPr sz="1000" b="1">
                      <a:solidFill>
                        <a:srgbClr val="A31F34"/>
                      </a:solidFill>
                    </a:defRPr>
                  </a:pPr>
                  <a:endParaRPr lang="en-US"/>
                </a:p>
              </c:txPr>
              <c:dLblPos val="inEnd"/>
              <c:showLegendKey val="0"/>
              <c:showVal val="0"/>
              <c:showCatName val="0"/>
              <c:showSerName val="0"/>
              <c:showPercent val="0"/>
              <c:showBubbleSize val="0"/>
              <c:separator>; </c:separator>
              <c:extLst>
                <c:ext xmlns:c15="http://schemas.microsoft.com/office/drawing/2012/chart" uri="{CE6537A1-D6FC-4f65-9D91-7224C49458BB}">
                  <c15:showDataLabelsRange val="1"/>
                </c:ext>
              </c:extLst>
            </c:dLbl>
            <c:dLbl>
              <c:idx val="7"/>
              <c:layout>
                <c:manualLayout>
                  <c:x val="0"/>
                  <c:y val="-0.06"/>
                </c:manualLayout>
              </c:layout>
              <c:spPr/>
              <c:txPr>
                <a:bodyPr/>
                <a:lstStyle/>
                <a:p>
                  <a:pPr>
                    <a:defRPr sz="1000" b="1">
                      <a:solidFill>
                        <a:srgbClr val="A31F34"/>
                      </a:solidFill>
                    </a:defRPr>
                  </a:pPr>
                  <a:endParaRPr lang="en-US"/>
                </a:p>
              </c:txPr>
              <c:dLblPos val="inEnd"/>
              <c:showLegendKey val="0"/>
              <c:showVal val="0"/>
              <c:showCatName val="0"/>
              <c:showSerName val="0"/>
              <c:showPercent val="0"/>
              <c:showBubbleSize val="0"/>
              <c:separator>; </c:separator>
              <c:extLst>
                <c:ext xmlns:c15="http://schemas.microsoft.com/office/drawing/2012/chart" uri="{CE6537A1-D6FC-4f65-9D91-7224C49458BB}">
                  <c15:showDataLabelsRange val="1"/>
                </c:ext>
              </c:extLst>
            </c:dLbl>
            <c:dLbl>
              <c:idx val="8"/>
              <c:layout>
                <c:manualLayout>
                  <c:x val="0"/>
                  <c:y val="-0.06"/>
                </c:manualLayout>
              </c:layout>
              <c:spPr/>
              <c:txPr>
                <a:bodyPr/>
                <a:lstStyle/>
                <a:p>
                  <a:pPr>
                    <a:defRPr sz="1000" b="1">
                      <a:solidFill>
                        <a:srgbClr val="A31F34"/>
                      </a:solidFill>
                    </a:defRPr>
                  </a:pPr>
                  <a:endParaRPr lang="en-US"/>
                </a:p>
              </c:txPr>
              <c:dLblPos val="inEnd"/>
              <c:showLegendKey val="0"/>
              <c:showVal val="0"/>
              <c:showCatName val="0"/>
              <c:showSerName val="0"/>
              <c:showPercent val="0"/>
              <c:showBubbleSize val="0"/>
              <c:separator>; </c:separator>
              <c:extLst>
                <c:ext xmlns:c15="http://schemas.microsoft.com/office/drawing/2012/chart" uri="{CE6537A1-D6FC-4f65-9D91-7224C49458BB}">
                  <c15:showDataLabelsRange val="1"/>
                </c:ext>
              </c:extLst>
            </c:dLbl>
            <c:dLbl>
              <c:idx val="9"/>
              <c:layout>
                <c:manualLayout>
                  <c:x val="0"/>
                  <c:y val="-0.06"/>
                </c:manualLayout>
              </c:layout>
              <c:spPr/>
              <c:txPr>
                <a:bodyPr/>
                <a:lstStyle/>
                <a:p>
                  <a:pPr>
                    <a:defRPr sz="1000" b="1">
                      <a:solidFill>
                        <a:srgbClr val="A31F34"/>
                      </a:solidFill>
                    </a:defRPr>
                  </a:pPr>
                  <a:endParaRPr lang="en-US"/>
                </a:p>
              </c:txPr>
              <c:dLblPos val="inEnd"/>
              <c:showLegendKey val="0"/>
              <c:showVal val="0"/>
              <c:showCatName val="0"/>
              <c:showSerName val="0"/>
              <c:showPercent val="0"/>
              <c:showBubbleSize val="0"/>
              <c:separator>; </c:separator>
              <c:extLst>
                <c:ext xmlns:c15="http://schemas.microsoft.com/office/drawing/2012/chart" uri="{CE6537A1-D6FC-4f65-9D91-7224C49458BB}">
                  <c15:showDataLabelsRange val="1"/>
                </c:ext>
              </c:extLst>
            </c:dLbl>
            <c:spPr>
              <a:noFill/>
              <a:ln>
                <a:noFill/>
              </a:ln>
            </c:spPr>
            <c:txPr>
              <a:bodyPr/>
              <a:lstStyle/>
              <a:p>
                <a:pPr>
                  <a:defRPr sz="1000" b="1">
                    <a:solidFill>
                      <a:srgbClr val="A31F34"/>
                    </a:solidFill>
                  </a:defRPr>
                </a:pPr>
                <a:endParaRPr lang="en-US"/>
              </a:p>
            </c:txPr>
            <c:dLblPos val="inEnd"/>
            <c:showLegendKey val="0"/>
            <c:showVal val="0"/>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'BXP vs Market'!$A$4:$A$13</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f>'BXP vs Market'!$L$4:$L$13</c:f>
              <c:numCache>
                <c:formatCode>#,##0</c:formatCode>
                <c:ptCount val="10"/>
                <c:pt idx="0">
                  <c:v>1482.70071659118</c:v>
                </c:pt>
                <c:pt idx="1">
                  <c:v>1495.198</c:v>
                </c:pt>
                <c:pt idx="2">
                  <c:v>1551.842</c:v>
                </c:pt>
                <c:pt idx="3">
                  <c:v>1739.85</c:v>
                </c:pt>
                <c:pt idx="4">
                  <c:v>1626.131</c:v>
                </c:pt>
                <c:pt idx="5">
                  <c:v>1735.74</c:v>
                </c:pt>
                <c:pt idx="6">
                  <c:v>1883.796</c:v>
                </c:pt>
                <c:pt idx="7">
                  <c:v>1965.106</c:v>
                </c:pt>
                <c:pt idx="8">
                  <c:v>1984.056</c:v>
                </c:pt>
                <c:pt idx="9">
                  <c:v>1976.785</c:v>
                </c:pt>
              </c:numCache>
            </c:numRef>
          </c:val>
          <c:extLst>
            <c:ext xmlns:c15="http://schemas.microsoft.com/office/drawing/2012/chart" uri="{02D57815-91ED-43cb-92C2-25804820EDAC}">
              <c15:datalabelsRange>
                <c15:f>'BXP vs Market'!$AE$4:$AE$13</c15:f>
                <c15:dlblRangeCache>
                  <c:ptCount val="10"/>
                  <c:pt idx="1">
                    <c:v>+1%</c:v>
                  </c:pt>
                  <c:pt idx="2">
                    <c:v>+4%</c:v>
                  </c:pt>
                  <c:pt idx="3">
                    <c:v>+12%</c:v>
                  </c:pt>
                  <c:pt idx="4">
                    <c:v>-7%</c:v>
                  </c:pt>
                  <c:pt idx="5">
                    <c:v>+7%</c:v>
                  </c:pt>
                  <c:pt idx="6">
                    <c:v>+9%</c:v>
                  </c:pt>
                  <c:pt idx="7">
                    <c:v>+4%</c:v>
                  </c:pt>
                  <c:pt idx="8">
                    <c:v>+1%</c:v>
                  </c:pt>
                  <c:pt idx="9">
                    <c:v>-0%</c:v>
                  </c:pt>
                </c15:dlblRangeCache>
              </c15:datalabelsRange>
            </c:ext>
          </c:extLst>
        </c:ser>
        <c:ser>
          <c:idx val="1"/>
          <c:order val="1"/>
          <c:tx>
            <c:strRef>
              <c:f>"Stabilized TEV less NOI ($M)"</c:f>
              <c:strCache>
                <c:ptCount val="1"/>
                <c:pt idx="0">
                  <c:v>Stabilized TEV less NOI ($M)</c:v>
                </c:pt>
              </c:strCache>
            </c:strRef>
          </c:tx>
          <c:spPr>
            <a:solidFill>
              <a:srgbClr val="d9d9d9"/>
            </a:solidFill>
            <a:ln w="0">
              <a:noFill/>
            </a:ln>
          </c:spPr>
          <c:invertIfNegative val="0"/>
          <c:dLbls>
            <c:txPr>
              <a:bodyPr wrap="square"/>
              <a:lstStyle/>
              <a:p>
                <a:pPr>
                  <a:defRPr b="0" sz="1000" spc="-1" strike="noStrike">
                    <a:solidFill>
                      <a:srgbClr val="000000"/>
                    </a:solidFill>
                    <a:latin typeface="Calibri"/>
                  </a:defRPr>
                </a:pPr>
              </a:p>
            </c:txPr>
            <c:dLblPos val="ctr"/>
            <c:showLegendKey val="0"/>
            <c:showVal val="0"/>
            <c:showCatName val="0"/>
            <c:showSerName val="0"/>
            <c:showPercent val="0"/>
            <c:separator>; </c:separator>
            <c:showLeaderLines val="0"/>
            <c:extLst>
              <c:ext xmlns:c15="http://schemas.microsoft.com/office/drawing/2012/chart" uri="{CE6537A1-D6FC-4f65-9D91-7224C49458BB}">
                <c15:showLeaderLines val="0"/>
              </c:ext>
            </c:extLst>
          </c:dLbls>
          <c:cat>
            <c:strRef>
              <c:f>'BXP vs Market'!$A$4:$A$13</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f>'BXP vs Market'!$Q$4:$Q$13</c:f>
              <c:numCache>
                <c:formatCode>#,##0</c:formatCode>
                <c:ptCount val="10"/>
                <c:pt idx="0">
                  <c:v>28008.2712834088</c:v>
                </c:pt>
                <c:pt idx="1">
                  <c:v>29260.923</c:v>
                </c:pt>
                <c:pt idx="2">
                  <c:v>27947.24515</c:v>
                </c:pt>
                <c:pt idx="3">
                  <c:v>32815.79428</c:v>
                </c:pt>
                <c:pt idx="4">
                  <c:v>26623.29576</c:v>
                </c:pt>
                <c:pt idx="5">
                  <c:v>29843.15656</c:v>
                </c:pt>
                <c:pt idx="6">
                  <c:v>23294.77444</c:v>
                </c:pt>
                <c:pt idx="7">
                  <c:v>25024.01755</c:v>
                </c:pt>
                <c:pt idx="8">
                  <c:v>25884.43076</c:v>
                </c:pt>
                <c:pt idx="9">
                  <c:v>24426.719</c:v>
                </c:pt>
              </c:numCache>
            </c:numRef>
          </c:val>
        </c:ser>
        <c:gapWidth val="150"/>
        <c:overlap val="100"/>
        <c:axId val="58124856"/>
        <c:axId val="64246791"/>
      </c:barChart>
      <c:lineChart>
        <c:grouping val="stacked"/>
        <c:varyColors val="0"/>
        <c:ser>
          <c:idx val="2"/>
          <c:order val="2"/>
          <c:tx>
            <c:strRef>
              <c:f>"Gross NOI Multiple (right)"</c:f>
              <c:strCache>
                <c:ptCount val="1"/>
                <c:pt idx="0">
                  <c:v>Gross NOI Multiple (right)</c:v>
                </c:pt>
              </c:strCache>
            </c:strRef>
          </c:tx>
          <c:spPr>
            <a:solidFill>
              <a:srgbClr val="1f3b57"/>
            </a:solidFill>
            <a:ln w="28440">
              <a:solidFill>
                <a:srgbClr val="1f3b57"/>
              </a:solidFill>
              <a:round/>
            </a:ln>
          </c:spPr>
          <c:marker>
            <c:symbol val="circle"/>
            <c:size val="5"/>
            <c:spPr>
              <a:solidFill>
                <a:srgbClr val="1f3b57"/>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0"/>
            <c:extLst>
              <c:ext xmlns:c15="http://schemas.microsoft.com/office/drawing/2012/chart" uri="{CE6537A1-D6FC-4f65-9D91-7224C49458BB}">
                <c15:showLeaderLines val="0"/>
              </c:ext>
            </c:extLst>
          </c:dLbls>
          <c:cat>
            <c:strRef>
              <c:f>'BXP vs Market'!$A$4:$A$13</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f>'BXP vs Market'!$J$4:$J$13</c:f>
              <c:numCache>
                <c:formatCode>0.0\x</c:formatCode>
                <c:ptCount val="10"/>
                <c:pt idx="0">
                  <c:v>19.8900369238383</c:v>
                </c:pt>
                <c:pt idx="1">
                  <c:v>20.5699318752433</c:v>
                </c:pt>
                <c:pt idx="2">
                  <c:v>19.0090789848451</c:v>
                </c:pt>
                <c:pt idx="3">
                  <c:v>19.8612778572866</c:v>
                </c:pt>
                <c:pt idx="4">
                  <c:v>17.3721715901117</c:v>
                </c:pt>
                <c:pt idx="5">
                  <c:v>18.193333425513</c:v>
                </c:pt>
                <c:pt idx="6">
                  <c:v>13.3658689369762</c:v>
                </c:pt>
                <c:pt idx="7">
                  <c:v>13.7341820492126</c:v>
                </c:pt>
                <c:pt idx="8">
                  <c:v>14.0462198446012</c:v>
                </c:pt>
                <c:pt idx="9">
                  <c:v>13.3567909509633</c:v>
                </c:pt>
              </c:numCache>
            </c:numRef>
          </c:val>
          <c:smooth val="0"/>
        </c:ser>
        <c:hiLowLines>
          <c:spPr>
            <a:ln w="0">
              <a:noFill/>
            </a:ln>
          </c:spPr>
        </c:hiLowLines>
        <c:marker val="1"/>
        <c:axId val="42302947"/>
        <c:axId val="68858371"/>
      </c:lineChart>
      <c:catAx>
        <c:axId val="58124856"/>
        <c:scaling>
          <c:orientation val="minMax"/>
        </c:scaling>
        <c:delete val="0"/>
        <c:axPos val="b"/>
        <c:numFmt formatCode="General" sourceLinked="0"/>
        <c:majorTickMark val="none"/>
        <c:minorTickMark val="none"/>
        <c:tickLblPos val="low"/>
        <c:spPr>
          <a:ln w="0">
            <a:solidFill>
              <a:srgbClr val="b3b3b3"/>
            </a:solidFill>
          </a:ln>
        </c:spPr>
        <c:txPr>
          <a:bodyPr/>
          <a:lstStyle/>
          <a:p>
            <a:pPr>
              <a:defRPr b="0" sz="1000" spc="-1" strike="noStrike">
                <a:solidFill>
                  <a:srgbClr val="000000"/>
                </a:solidFill>
                <a:latin typeface="Calibri"/>
              </a:defRPr>
            </a:pPr>
          </a:p>
        </c:txPr>
        <c:crossAx val="64246791"/>
        <c:crosses val="autoZero"/>
        <c:auto val="1"/>
        <c:lblAlgn val="ctr"/>
        <c:lblOffset val="100"/>
        <c:noMultiLvlLbl val="0"/>
      </c:catAx>
      <c:valAx>
        <c:axId val="64246791"/>
        <c:scaling>
          <c:orientation val="minMax"/>
          <c:min val="0"/>
        </c:scaling>
        <c:delete val="0"/>
        <c:axPos val="l"/>
        <c:majorGridlines>
          <c:spPr>
            <a:ln w="0">
              <a:solidFill>
                <a:srgbClr val="b3b3b3"/>
              </a:solidFill>
            </a:ln>
          </c:spPr>
        </c:majorGridlines>
        <c:numFmt formatCode="#,##0"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58124856"/>
        <c:crosses val="autoZero"/>
        <c:crossBetween val="between"/>
      </c:valAx>
      <c:catAx>
        <c:axId val="42302947"/>
        <c:scaling>
          <c:orientation val="minMax"/>
        </c:scaling>
        <c:delete val="1"/>
        <c:axPos val="t"/>
        <c:numFmt formatCode="General" sourceLinked="1"/>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68858371"/>
        <c:auto val="1"/>
        <c:lblAlgn val="ctr"/>
        <c:lblOffset val="100"/>
        <c:noMultiLvlLbl val="0"/>
      </c:catAx>
      <c:valAx>
        <c:axId val="68858371"/>
        <c:scaling>
          <c:orientation val="minMax"/>
        </c:scaling>
        <c:delete val="0"/>
        <c:axPos val="r"/>
        <c:numFmt formatCode="0.0\x"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42302947"/>
        <c:crosses val="max"/>
        <c:crossBetween val="between"/>
      </c:valAx>
      <c:spPr>
        <a:noFill/>
        <a:ln w="0">
          <a:noFill/>
        </a:ln>
      </c:spPr>
    </c:plotArea>
    <c:legend>
      <c:legendPos val="b"/>
      <c:overlay val="0"/>
      <c:spPr>
        <a:noFill/>
        <a:ln w="0">
          <a:noFill/>
        </a:ln>
      </c:spPr>
      <c:txPr>
        <a:bodyPr/>
        <a:lstStyle/>
        <a:p>
          <a:pPr>
            <a:defRPr b="0" sz="1000" spc="-1" strike="noStrike">
              <a:solidFill>
                <a:srgbClr val="000000"/>
              </a:solidFill>
              <a:latin typeface="Calibri"/>
            </a:defRPr>
          </a:pPr>
        </a:p>
      </c:txPr>
    </c:legend>
    <c:plotVisOnly val="1"/>
    <c:dispBlanksAs val="gap"/>
  </c:chart>
  <c:spPr>
    <a:solidFill>
      <a:srgbClr val="ffffff"/>
    </a:solidFill>
    <a:ln w="9360">
      <a:solidFill>
        <a:srgbClr val="d9d9d9"/>
      </a:solidFill>
      <a:round/>
    </a:ln>
  </c:spPr>
</c:chartSpace>
</file>

<file path=xl/charts/chart7.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lang="en-US" sz="1200" spc="-1" strike="noStrike">
                <a:solidFill>
                  <a:srgbClr val="000000"/>
                </a:solidFill>
                <a:latin typeface="Calibri"/>
              </a:defRPr>
            </a:pPr>
            <a:r>
              <a:rPr b="1" lang="en-US" sz="1200" spc="-1" strike="noStrike">
                <a:solidFill>
                  <a:srgbClr val="000000"/>
                </a:solidFill>
                <a:latin typeface="Calibri"/>
              </a:rPr>
              <a:t>Leveraged Cash Flow (labeled YoY growth) and Stabilized Market Cap: Leveraged NOI Multiple (2016-2025)</a:t>
            </a:r>
          </a:p>
        </c:rich>
      </c:tx>
      <c:overlay val="0"/>
      <c:spPr>
        <a:noFill/>
        <a:ln w="0">
          <a:noFill/>
        </a:ln>
      </c:spPr>
    </c:title>
    <c:autoTitleDeleted val="0"/>
    <c:plotArea>
      <c:layout>
        <c:manualLayout>
          <c:layoutTarget val="inner"/>
          <c:xMode val="edge"/>
          <c:yMode val="edge"/>
          <c:x val="0.0900357758049556"/>
          <c:y val="0.200339035290492"/>
          <c:w val="0.819133430502186"/>
          <c:h val="0.559254122360918"/>
        </c:manualLayout>
      </c:layout>
      <c:barChart>
        <c:barDir val="col"/>
        <c:grouping val="stacked"/>
        <c:varyColors val="0"/>
        <c:ser>
          <c:idx val="0"/>
          <c:order val="0"/>
          <c:tx>
            <c:strRef>
              <c:f>"Leveraged Property Cash Flow ($M)"</c:f>
              <c:strCache>
                <c:ptCount val="1"/>
                <c:pt idx="0">
                  <c:v>Leveraged Property Cash Flow ($M)</c:v>
                </c:pt>
              </c:strCache>
            </c:strRef>
          </c:tx>
          <c:spPr>
            <a:solidFill>
              <a:srgbClr val="a31f34"/>
            </a:solidFill>
            <a:ln w="0">
              <a:noFill/>
            </a:ln>
          </c:spPr>
          <c:invertIfNegative val="0"/>
          <c:dPt>
            <c:idx val="1"/>
            <c:invertIfNegative val="0"/>
            <c:spPr>
              <a:solidFill>
                <a:srgbClr val="a31f34"/>
              </a:solidFill>
              <a:ln w="0">
                <a:noFill/>
              </a:ln>
            </c:spPr>
          </c:dPt>
          <c:dPt>
            <c:idx val="2"/>
            <c:invertIfNegative val="0"/>
            <c:spPr>
              <a:solidFill>
                <a:srgbClr val="a31f34"/>
              </a:solidFill>
              <a:ln w="0">
                <a:noFill/>
              </a:ln>
            </c:spPr>
          </c:dPt>
          <c:dPt>
            <c:idx val="3"/>
            <c:invertIfNegative val="0"/>
            <c:spPr>
              <a:solidFill>
                <a:srgbClr val="a31f34"/>
              </a:solidFill>
              <a:ln w="0">
                <a:noFill/>
              </a:ln>
            </c:spPr>
          </c:dPt>
          <c:dPt>
            <c:idx val="4"/>
            <c:invertIfNegative val="0"/>
            <c:spPr>
              <a:solidFill>
                <a:srgbClr val="a31f34"/>
              </a:solidFill>
              <a:ln w="0">
                <a:noFill/>
              </a:ln>
            </c:spPr>
          </c:dPt>
          <c:dPt>
            <c:idx val="5"/>
            <c:invertIfNegative val="0"/>
            <c:spPr>
              <a:solidFill>
                <a:srgbClr val="a31f34"/>
              </a:solidFill>
              <a:ln w="0">
                <a:noFill/>
              </a:ln>
            </c:spPr>
          </c:dPt>
          <c:dPt>
            <c:idx val="6"/>
            <c:invertIfNegative val="0"/>
            <c:spPr>
              <a:solidFill>
                <a:srgbClr val="a31f34"/>
              </a:solidFill>
              <a:ln w="0">
                <a:noFill/>
              </a:ln>
            </c:spPr>
          </c:dPt>
          <c:dPt>
            <c:idx val="7"/>
            <c:invertIfNegative val="0"/>
            <c:spPr>
              <a:solidFill>
                <a:srgbClr val="a31f34"/>
              </a:solidFill>
              <a:ln w="0">
                <a:noFill/>
              </a:ln>
            </c:spPr>
          </c:dPt>
          <c:dPt>
            <c:idx val="8"/>
            <c:invertIfNegative val="0"/>
            <c:spPr>
              <a:solidFill>
                <a:srgbClr val="a31f34"/>
              </a:solidFill>
              <a:ln w="0">
                <a:noFill/>
              </a:ln>
            </c:spPr>
          </c:dPt>
          <c:dPt>
            <c:idx val="9"/>
            <c:invertIfNegative val="0"/>
            <c:spPr>
              <a:solidFill>
                <a:srgbClr val="a31f34"/>
              </a:solidFill>
              <a:ln w="0">
                <a:noFill/>
              </a:ln>
            </c:spPr>
          </c:dPt>
          <c:dLbls>
            <c:dLbl>
              <c:idx val="0"/>
              <c:delete val="1"/>
            </c:dLbl>
            <c:dLbl>
              <c:idx val="1"/>
              <c:layout>
                <c:manualLayout>
                  <c:x val="0"/>
                  <c:y val="-0.06"/>
                </c:manualLayout>
              </c:layout>
              <c:spPr/>
              <c:txPr>
                <a:bodyPr/>
                <a:lstStyle/>
                <a:p>
                  <a:pPr>
                    <a:defRPr sz="1000" b="1">
                      <a:solidFill>
                        <a:srgbClr val="A31F34"/>
                      </a:solidFill>
                    </a:defRPr>
                  </a:pPr>
                  <a:endParaRPr lang="en-US"/>
                </a:p>
              </c:txPr>
              <c:dLblPos val="inEnd"/>
              <c:showLegendKey val="0"/>
              <c:showVal val="0"/>
              <c:showCatName val="0"/>
              <c:showSerName val="0"/>
              <c:showPercent val="0"/>
              <c:showBubbleSize val="0"/>
              <c:separator>; </c:separator>
              <c:extLst>
                <c:ext xmlns:c15="http://schemas.microsoft.com/office/drawing/2012/chart" uri="{CE6537A1-D6FC-4f65-9D91-7224C49458BB}">
                  <c15:showDataLabelsRange val="1"/>
                </c:ext>
              </c:extLst>
            </c:dLbl>
            <c:dLbl>
              <c:idx val="2"/>
              <c:layout>
                <c:manualLayout>
                  <c:x val="0"/>
                  <c:y val="-0.06"/>
                </c:manualLayout>
              </c:layout>
              <c:spPr/>
              <c:txPr>
                <a:bodyPr/>
                <a:lstStyle/>
                <a:p>
                  <a:pPr>
                    <a:defRPr sz="1000" b="1">
                      <a:solidFill>
                        <a:srgbClr val="A31F34"/>
                      </a:solidFill>
                    </a:defRPr>
                  </a:pPr>
                  <a:endParaRPr lang="en-US"/>
                </a:p>
              </c:txPr>
              <c:dLblPos val="inEnd"/>
              <c:showLegendKey val="0"/>
              <c:showVal val="0"/>
              <c:showCatName val="0"/>
              <c:showSerName val="0"/>
              <c:showPercent val="0"/>
              <c:showBubbleSize val="0"/>
              <c:separator>; </c:separator>
              <c:extLst>
                <c:ext xmlns:c15="http://schemas.microsoft.com/office/drawing/2012/chart" uri="{CE6537A1-D6FC-4f65-9D91-7224C49458BB}">
                  <c15:showDataLabelsRange val="1"/>
                </c:ext>
              </c:extLst>
            </c:dLbl>
            <c:dLbl>
              <c:idx val="3"/>
              <c:layout>
                <c:manualLayout>
                  <c:x val="0"/>
                  <c:y val="-0.06"/>
                </c:manualLayout>
              </c:layout>
              <c:spPr/>
              <c:txPr>
                <a:bodyPr/>
                <a:lstStyle/>
                <a:p>
                  <a:pPr>
                    <a:defRPr sz="1000" b="1">
                      <a:solidFill>
                        <a:srgbClr val="A31F34"/>
                      </a:solidFill>
                    </a:defRPr>
                  </a:pPr>
                  <a:endParaRPr lang="en-US"/>
                </a:p>
              </c:txPr>
              <c:dLblPos val="inEnd"/>
              <c:showLegendKey val="0"/>
              <c:showVal val="0"/>
              <c:showCatName val="0"/>
              <c:showSerName val="0"/>
              <c:showPercent val="0"/>
              <c:showBubbleSize val="0"/>
              <c:separator>; </c:separator>
              <c:extLst>
                <c:ext xmlns:c15="http://schemas.microsoft.com/office/drawing/2012/chart" uri="{CE6537A1-D6FC-4f65-9D91-7224C49458BB}">
                  <c15:showDataLabelsRange val="1"/>
                </c:ext>
              </c:extLst>
            </c:dLbl>
            <c:dLbl>
              <c:idx val="4"/>
              <c:layout>
                <c:manualLayout>
                  <c:x val="0"/>
                  <c:y val="-0.06"/>
                </c:manualLayout>
              </c:layout>
              <c:spPr/>
              <c:txPr>
                <a:bodyPr/>
                <a:lstStyle/>
                <a:p>
                  <a:pPr>
                    <a:defRPr sz="1000" b="1">
                      <a:solidFill>
                        <a:srgbClr val="A31F34"/>
                      </a:solidFill>
                    </a:defRPr>
                  </a:pPr>
                  <a:endParaRPr lang="en-US"/>
                </a:p>
              </c:txPr>
              <c:dLblPos val="inEnd"/>
              <c:showLegendKey val="0"/>
              <c:showVal val="0"/>
              <c:showCatName val="0"/>
              <c:showSerName val="0"/>
              <c:showPercent val="0"/>
              <c:showBubbleSize val="0"/>
              <c:separator>; </c:separator>
              <c:extLst>
                <c:ext xmlns:c15="http://schemas.microsoft.com/office/drawing/2012/chart" uri="{CE6537A1-D6FC-4f65-9D91-7224C49458BB}">
                  <c15:showDataLabelsRange val="1"/>
                </c:ext>
              </c:extLst>
            </c:dLbl>
            <c:dLbl>
              <c:idx val="5"/>
              <c:layout>
                <c:manualLayout>
                  <c:x val="0"/>
                  <c:y val="-0.06"/>
                </c:manualLayout>
              </c:layout>
              <c:spPr/>
              <c:txPr>
                <a:bodyPr/>
                <a:lstStyle/>
                <a:p>
                  <a:pPr>
                    <a:defRPr sz="1000" b="1">
                      <a:solidFill>
                        <a:srgbClr val="A31F34"/>
                      </a:solidFill>
                    </a:defRPr>
                  </a:pPr>
                  <a:endParaRPr lang="en-US"/>
                </a:p>
              </c:txPr>
              <c:dLblPos val="inEnd"/>
              <c:showLegendKey val="0"/>
              <c:showVal val="0"/>
              <c:showCatName val="0"/>
              <c:showSerName val="0"/>
              <c:showPercent val="0"/>
              <c:showBubbleSize val="0"/>
              <c:separator>; </c:separator>
              <c:extLst>
                <c:ext xmlns:c15="http://schemas.microsoft.com/office/drawing/2012/chart" uri="{CE6537A1-D6FC-4f65-9D91-7224C49458BB}">
                  <c15:showDataLabelsRange val="1"/>
                </c:ext>
              </c:extLst>
            </c:dLbl>
            <c:dLbl>
              <c:idx val="6"/>
              <c:layout>
                <c:manualLayout>
                  <c:x val="0"/>
                  <c:y val="-0.06"/>
                </c:manualLayout>
              </c:layout>
              <c:spPr/>
              <c:txPr>
                <a:bodyPr/>
                <a:lstStyle/>
                <a:p>
                  <a:pPr>
                    <a:defRPr sz="1000" b="1">
                      <a:solidFill>
                        <a:srgbClr val="A31F34"/>
                      </a:solidFill>
                    </a:defRPr>
                  </a:pPr>
                  <a:endParaRPr lang="en-US"/>
                </a:p>
              </c:txPr>
              <c:dLblPos val="inEnd"/>
              <c:showLegendKey val="0"/>
              <c:showVal val="0"/>
              <c:showCatName val="0"/>
              <c:showSerName val="0"/>
              <c:showPercent val="0"/>
              <c:showBubbleSize val="0"/>
              <c:separator>; </c:separator>
              <c:extLst>
                <c:ext xmlns:c15="http://schemas.microsoft.com/office/drawing/2012/chart" uri="{CE6537A1-D6FC-4f65-9D91-7224C49458BB}">
                  <c15:showDataLabelsRange val="1"/>
                </c:ext>
              </c:extLst>
            </c:dLbl>
            <c:dLbl>
              <c:idx val="7"/>
              <c:layout>
                <c:manualLayout>
                  <c:x val="0"/>
                  <c:y val="-0.06"/>
                </c:manualLayout>
              </c:layout>
              <c:spPr/>
              <c:txPr>
                <a:bodyPr/>
                <a:lstStyle/>
                <a:p>
                  <a:pPr>
                    <a:defRPr sz="1000" b="1">
                      <a:solidFill>
                        <a:srgbClr val="A31F34"/>
                      </a:solidFill>
                    </a:defRPr>
                  </a:pPr>
                  <a:endParaRPr lang="en-US"/>
                </a:p>
              </c:txPr>
              <c:dLblPos val="inEnd"/>
              <c:showLegendKey val="0"/>
              <c:showVal val="0"/>
              <c:showCatName val="0"/>
              <c:showSerName val="0"/>
              <c:showPercent val="0"/>
              <c:showBubbleSize val="0"/>
              <c:separator>; </c:separator>
              <c:extLst>
                <c:ext xmlns:c15="http://schemas.microsoft.com/office/drawing/2012/chart" uri="{CE6537A1-D6FC-4f65-9D91-7224C49458BB}">
                  <c15:showDataLabelsRange val="1"/>
                </c:ext>
              </c:extLst>
            </c:dLbl>
            <c:dLbl>
              <c:idx val="8"/>
              <c:layout>
                <c:manualLayout>
                  <c:x val="0"/>
                  <c:y val="-0.06"/>
                </c:manualLayout>
              </c:layout>
              <c:spPr/>
              <c:txPr>
                <a:bodyPr/>
                <a:lstStyle/>
                <a:p>
                  <a:pPr>
                    <a:defRPr sz="1000" b="1">
                      <a:solidFill>
                        <a:srgbClr val="A31F34"/>
                      </a:solidFill>
                    </a:defRPr>
                  </a:pPr>
                  <a:endParaRPr lang="en-US"/>
                </a:p>
              </c:txPr>
              <c:dLblPos val="inEnd"/>
              <c:showLegendKey val="0"/>
              <c:showVal val="0"/>
              <c:showCatName val="0"/>
              <c:showSerName val="0"/>
              <c:showPercent val="0"/>
              <c:showBubbleSize val="0"/>
              <c:separator>; </c:separator>
              <c:extLst>
                <c:ext xmlns:c15="http://schemas.microsoft.com/office/drawing/2012/chart" uri="{CE6537A1-D6FC-4f65-9D91-7224C49458BB}">
                  <c15:showDataLabelsRange val="1"/>
                </c:ext>
              </c:extLst>
            </c:dLbl>
            <c:dLbl>
              <c:idx val="9"/>
              <c:layout>
                <c:manualLayout>
                  <c:x val="0"/>
                  <c:y val="-0.06"/>
                </c:manualLayout>
              </c:layout>
              <c:spPr/>
              <c:txPr>
                <a:bodyPr/>
                <a:lstStyle/>
                <a:p>
                  <a:pPr>
                    <a:defRPr sz="1000" b="1">
                      <a:solidFill>
                        <a:srgbClr val="A31F34"/>
                      </a:solidFill>
                    </a:defRPr>
                  </a:pPr>
                  <a:endParaRPr lang="en-US"/>
                </a:p>
              </c:txPr>
              <c:dLblPos val="inEnd"/>
              <c:showLegendKey val="0"/>
              <c:showVal val="0"/>
              <c:showCatName val="0"/>
              <c:showSerName val="0"/>
              <c:showPercent val="0"/>
              <c:showBubbleSize val="0"/>
              <c:separator>; </c:separator>
              <c:extLst>
                <c:ext xmlns:c15="http://schemas.microsoft.com/office/drawing/2012/chart" uri="{CE6537A1-D6FC-4f65-9D91-7224C49458BB}">
                  <c15:showDataLabelsRange val="1"/>
                </c:ext>
              </c:extLst>
            </c:dLbl>
            <c:spPr>
              <a:noFill/>
              <a:ln>
                <a:noFill/>
              </a:ln>
            </c:spPr>
            <c:txPr>
              <a:bodyPr/>
              <a:lstStyle/>
              <a:p>
                <a:pPr>
                  <a:defRPr sz="1000" b="1">
                    <a:solidFill>
                      <a:srgbClr val="A31F34"/>
                    </a:solidFill>
                  </a:defRPr>
                </a:pPr>
                <a:endParaRPr lang="en-US"/>
              </a:p>
            </c:txPr>
            <c:dLblPos val="inEnd"/>
            <c:showLegendKey val="0"/>
            <c:showVal val="0"/>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'BXP vs Market'!$A$4:$A$13</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f>'BXP vs Market'!$N$4:$N$13</c:f>
              <c:numCache>
                <c:formatCode>#,##0</c:formatCode>
                <c:ptCount val="10"/>
                <c:pt idx="0">
                  <c:v>1128.57650948363</c:v>
                </c:pt>
                <c:pt idx="1">
                  <c:v>1142.00935341934</c:v>
                </c:pt>
                <c:pt idx="2">
                  <c:v>1174.14116244595</c:v>
                </c:pt>
                <c:pt idx="3">
                  <c:v>1327.64648926905</c:v>
                </c:pt>
                <c:pt idx="4">
                  <c:v>1189.71484539829</c:v>
                </c:pt>
                <c:pt idx="5">
                  <c:v>1307.63739543796</c:v>
                </c:pt>
                <c:pt idx="6">
                  <c:v>1412.09720030353</c:v>
                </c:pt>
                <c:pt idx="7">
                  <c:v>1345.52678914109</c:v>
                </c:pt>
                <c:pt idx="8">
                  <c:v>1313.01543582957</c:v>
                </c:pt>
                <c:pt idx="9">
                  <c:v>1305.72518761223</c:v>
                </c:pt>
              </c:numCache>
            </c:numRef>
          </c:val>
          <c:extLst>
            <c:ext xmlns:c15="http://schemas.microsoft.com/office/drawing/2012/chart" uri="{02D57815-91ED-43cb-92C2-25804820EDAC}">
              <c15:datalabelsRange>
                <c15:f>'BXP vs Market'!$AF$4:$AF$13</c15:f>
                <c15:dlblRangeCache>
                  <c:ptCount val="10"/>
                  <c:pt idx="1">
                    <c:v>+1%</c:v>
                  </c:pt>
                  <c:pt idx="2">
                    <c:v>+3%</c:v>
                  </c:pt>
                  <c:pt idx="3">
                    <c:v>+13%</c:v>
                  </c:pt>
                  <c:pt idx="4">
                    <c:v>-10%</c:v>
                  </c:pt>
                  <c:pt idx="5">
                    <c:v>+10%</c:v>
                  </c:pt>
                  <c:pt idx="6">
                    <c:v>+8%</c:v>
                  </c:pt>
                  <c:pt idx="7">
                    <c:v>-5%</c:v>
                  </c:pt>
                  <c:pt idx="8">
                    <c:v>-2%</c:v>
                  </c:pt>
                  <c:pt idx="9">
                    <c:v>-1%</c:v>
                  </c:pt>
                </c15:dlblRangeCache>
              </c15:datalabelsRange>
            </c:ext>
          </c:extLst>
        </c:ser>
        <c:ser>
          <c:idx val="1"/>
          <c:order val="1"/>
          <c:tx>
            <c:strRef>
              <c:f>"Stabilized Market Cap less Leveraged CF ($M)"</c:f>
              <c:strCache>
                <c:ptCount val="1"/>
                <c:pt idx="0">
                  <c:v>Stabilized Market Cap less Leveraged CF ($M)</c:v>
                </c:pt>
              </c:strCache>
            </c:strRef>
          </c:tx>
          <c:spPr>
            <a:solidFill>
              <a:srgbClr val="d9d9d9"/>
            </a:solidFill>
            <a:ln w="0">
              <a:noFill/>
            </a:ln>
          </c:spPr>
          <c:invertIfNegative val="0"/>
          <c:dLbls>
            <c:txPr>
              <a:bodyPr wrap="square"/>
              <a:lstStyle/>
              <a:p>
                <a:pPr>
                  <a:defRPr b="0" sz="1000" spc="-1" strike="noStrike">
                    <a:solidFill>
                      <a:srgbClr val="000000"/>
                    </a:solidFill>
                    <a:latin typeface="Calibri"/>
                  </a:defRPr>
                </a:pPr>
              </a:p>
            </c:txPr>
            <c:dLblPos val="ctr"/>
            <c:showLegendKey val="0"/>
            <c:showVal val="0"/>
            <c:showCatName val="0"/>
            <c:showSerName val="0"/>
            <c:showPercent val="0"/>
            <c:separator>; </c:separator>
            <c:showLeaderLines val="0"/>
            <c:extLst>
              <c:ext xmlns:c15="http://schemas.microsoft.com/office/drawing/2012/chart" uri="{CE6537A1-D6FC-4f65-9D91-7224C49458BB}">
                <c15:showLeaderLines val="0"/>
              </c:ext>
            </c:extLst>
          </c:dLbls>
          <c:cat>
            <c:strRef>
              <c:f>'BXP vs Market'!$A$4:$A$13</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f>'BXP vs Market'!$R$4:$R$13</c:f>
              <c:numCache>
                <c:formatCode>#,##0</c:formatCode>
                <c:ptCount val="10"/>
                <c:pt idx="0">
                  <c:v>19192.5424905164</c:v>
                </c:pt>
                <c:pt idx="1">
                  <c:v>19742.9066465807</c:v>
                </c:pt>
                <c:pt idx="2">
                  <c:v>17431.388987554</c:v>
                </c:pt>
                <c:pt idx="3">
                  <c:v>21435.935790731</c:v>
                </c:pt>
                <c:pt idx="4">
                  <c:v>13852.9449146017</c:v>
                </c:pt>
                <c:pt idx="5">
                  <c:v>17347.342164562</c:v>
                </c:pt>
                <c:pt idx="6">
                  <c:v>9284.16523969647</c:v>
                </c:pt>
                <c:pt idx="7">
                  <c:v>9726.01976085891</c:v>
                </c:pt>
                <c:pt idx="8">
                  <c:v>10313.5753241704</c:v>
                </c:pt>
                <c:pt idx="9">
                  <c:v>8630.98981238777</c:v>
                </c:pt>
              </c:numCache>
            </c:numRef>
          </c:val>
        </c:ser>
        <c:gapWidth val="150"/>
        <c:overlap val="100"/>
        <c:axId val="32975033"/>
        <c:axId val="88254094"/>
      </c:barChart>
      <c:lineChart>
        <c:grouping val="stacked"/>
        <c:varyColors val="0"/>
        <c:ser>
          <c:idx val="2"/>
          <c:order val="2"/>
          <c:tx>
            <c:strRef>
              <c:f>"Leveraged NOI Multiple (right)"</c:f>
              <c:strCache>
                <c:ptCount val="1"/>
                <c:pt idx="0">
                  <c:v>Leveraged NOI Multiple (right)</c:v>
                </c:pt>
              </c:strCache>
            </c:strRef>
          </c:tx>
          <c:spPr>
            <a:solidFill>
              <a:srgbClr val="1f3b57"/>
            </a:solidFill>
            <a:ln w="28440">
              <a:solidFill>
                <a:srgbClr val="1f3b57"/>
              </a:solidFill>
              <a:round/>
            </a:ln>
          </c:spPr>
          <c:marker>
            <c:symbol val="circle"/>
            <c:size val="5"/>
            <c:spPr>
              <a:solidFill>
                <a:srgbClr val="1f3b57"/>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0"/>
            <c:extLst>
              <c:ext xmlns:c15="http://schemas.microsoft.com/office/drawing/2012/chart" uri="{CE6537A1-D6FC-4f65-9D91-7224C49458BB}">
                <c15:showLeaderLines val="0"/>
              </c:ext>
            </c:extLst>
          </c:dLbls>
          <c:cat>
            <c:strRef>
              <c:f>'BXP vs Market'!$A$4:$A$13</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f>'BXP vs Market'!$K$4:$K$13</c:f>
              <c:numCache>
                <c:formatCode>0.0\x</c:formatCode>
                <c:ptCount val="10"/>
                <c:pt idx="0">
                  <c:v>18.0059737458984</c:v>
                </c:pt>
                <c:pt idx="1">
                  <c:v>18.2878677284626</c:v>
                </c:pt>
                <c:pt idx="2">
                  <c:v>15.8460760469731</c:v>
                </c:pt>
                <c:pt idx="3">
                  <c:v>17.1458158960167</c:v>
                </c:pt>
                <c:pt idx="4">
                  <c:v>12.6439203630884</c:v>
                </c:pt>
                <c:pt idx="5">
                  <c:v>14.2661716658478</c:v>
                </c:pt>
                <c:pt idx="6">
                  <c:v>7.57473525030774</c:v>
                </c:pt>
                <c:pt idx="7">
                  <c:v>8.22841034407608</c:v>
                </c:pt>
                <c:pt idx="8">
                  <c:v>8.85487743916299</c:v>
                </c:pt>
                <c:pt idx="9">
                  <c:v>7.61011206207272</c:v>
                </c:pt>
              </c:numCache>
            </c:numRef>
          </c:val>
          <c:smooth val="0"/>
        </c:ser>
        <c:hiLowLines>
          <c:spPr>
            <a:ln w="0">
              <a:noFill/>
            </a:ln>
          </c:spPr>
        </c:hiLowLines>
        <c:marker val="1"/>
        <c:axId val="4615328"/>
        <c:axId val="83296446"/>
      </c:lineChart>
      <c:catAx>
        <c:axId val="32975033"/>
        <c:scaling>
          <c:orientation val="minMax"/>
        </c:scaling>
        <c:delete val="0"/>
        <c:axPos val="b"/>
        <c:numFmt formatCode="General" sourceLinked="0"/>
        <c:majorTickMark val="none"/>
        <c:minorTickMark val="none"/>
        <c:tickLblPos val="low"/>
        <c:spPr>
          <a:ln w="0">
            <a:solidFill>
              <a:srgbClr val="b3b3b3"/>
            </a:solidFill>
          </a:ln>
        </c:spPr>
        <c:txPr>
          <a:bodyPr/>
          <a:lstStyle/>
          <a:p>
            <a:pPr>
              <a:defRPr b="0" sz="1000" spc="-1" strike="noStrike">
                <a:solidFill>
                  <a:srgbClr val="000000"/>
                </a:solidFill>
                <a:latin typeface="Calibri"/>
              </a:defRPr>
            </a:pPr>
          </a:p>
        </c:txPr>
        <c:crossAx val="88254094"/>
        <c:crosses val="autoZero"/>
        <c:auto val="1"/>
        <c:lblAlgn val="ctr"/>
        <c:lblOffset val="100"/>
        <c:noMultiLvlLbl val="0"/>
      </c:catAx>
      <c:valAx>
        <c:axId val="88254094"/>
        <c:scaling>
          <c:orientation val="minMax"/>
          <c:min val="0"/>
        </c:scaling>
        <c:delete val="0"/>
        <c:axPos val="l"/>
        <c:majorGridlines>
          <c:spPr>
            <a:ln w="0">
              <a:solidFill>
                <a:srgbClr val="b3b3b3"/>
              </a:solidFill>
            </a:ln>
          </c:spPr>
        </c:majorGridlines>
        <c:numFmt formatCode="#,##0"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32975033"/>
        <c:crosses val="autoZero"/>
        <c:crossBetween val="between"/>
      </c:valAx>
      <c:catAx>
        <c:axId val="4615328"/>
        <c:scaling>
          <c:orientation val="minMax"/>
        </c:scaling>
        <c:delete val="1"/>
        <c:axPos val="t"/>
        <c:numFmt formatCode="General" sourceLinked="1"/>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83296446"/>
        <c:auto val="1"/>
        <c:lblAlgn val="ctr"/>
        <c:lblOffset val="100"/>
        <c:noMultiLvlLbl val="0"/>
      </c:catAx>
      <c:valAx>
        <c:axId val="83296446"/>
        <c:scaling>
          <c:orientation val="minMax"/>
        </c:scaling>
        <c:delete val="0"/>
        <c:axPos val="r"/>
        <c:numFmt formatCode="0.0\x"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4615328"/>
        <c:crosses val="max"/>
        <c:crossBetween val="between"/>
      </c:valAx>
      <c:spPr>
        <a:noFill/>
        <a:ln w="0">
          <a:noFill/>
        </a:ln>
      </c:spPr>
    </c:plotArea>
    <c:legend>
      <c:legendPos val="b"/>
      <c:overlay val="0"/>
      <c:spPr>
        <a:noFill/>
        <a:ln w="0">
          <a:noFill/>
        </a:ln>
      </c:spPr>
      <c:txPr>
        <a:bodyPr/>
        <a:lstStyle/>
        <a:p>
          <a:pPr>
            <a:defRPr b="0" sz="1000" spc="-1" strike="noStrike">
              <a:solidFill>
                <a:srgbClr val="000000"/>
              </a:solidFill>
              <a:latin typeface="Calibri"/>
            </a:defRPr>
          </a:pPr>
        </a:p>
      </c:txPr>
    </c:legend>
    <c:plotVisOnly val="1"/>
    <c:dispBlanksAs val="gap"/>
  </c:chart>
  <c:spPr>
    <a:solidFill>
      <a:srgbClr val="ffffff"/>
    </a:solidFill>
    <a:ln w="9360">
      <a:solidFill>
        <a:srgbClr val="d9d9d9"/>
      </a:solidFill>
      <a:round/>
    </a:ln>
  </c:spPr>
</c:chartSpace>
</file>

<file path=xl/charts/chart8.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lang="en-US" sz="1200" spc="-1" strike="noStrike">
                <a:solidFill>
                  <a:srgbClr val="000000"/>
                </a:solidFill>
                <a:latin typeface="Calibri"/>
              </a:defRPr>
            </a:pPr>
            <a:r>
              <a:rPr b="1" lang="en-US" sz="1200" spc="-1" strike="noStrike">
                <a:solidFill>
                  <a:srgbClr val="000000"/>
                </a:solidFill>
                <a:latin typeface="Calibri"/>
              </a:rPr>
              <a:t>BXP Implied Cap Rate vs. Private Office Cap Rates (2016-2025)</a:t>
            </a:r>
          </a:p>
        </c:rich>
      </c:tx>
      <c:overlay val="0"/>
      <c:spPr>
        <a:noFill/>
        <a:ln w="0">
          <a:noFill/>
        </a:ln>
      </c:spPr>
    </c:title>
    <c:autoTitleDeleted val="0"/>
    <c:plotArea>
      <c:layout>
        <c:manualLayout>
          <c:layoutTarget val="inner"/>
          <c:xMode val="edge"/>
          <c:yMode val="edge"/>
          <c:x val="0.100072876639724"/>
          <c:y val="0.160271228232393"/>
          <c:w val="0.799092354577978"/>
          <c:h val="0.619355832948066"/>
        </c:manualLayout>
      </c:layout>
      <c:scatterChart>
        <c:scatterStyle val="lineMarker"/>
        <c:varyColors val="0"/>
        <c:ser>
          <c:idx val="0"/>
          <c:order val="0"/>
          <c:tx>
            <c:strRef>
              <c:f>"BXP Implied Cap Rate (public pricing, year-end)"</c:f>
              <c:strCache>
                <c:ptCount val="1"/>
                <c:pt idx="0">
                  <c:v>BXP Implied Cap Rate (public pricing, year-end)</c:v>
                </c:pt>
              </c:strCache>
            </c:strRef>
          </c:tx>
          <c:spPr>
            <a:solidFill>
              <a:srgbClr val="a31f34"/>
            </a:solidFill>
            <a:ln w="28440">
              <a:solidFill>
                <a:srgbClr val="a31f34"/>
              </a:solidFill>
              <a:round/>
            </a:ln>
          </c:spPr>
          <c:marker>
            <c:symbol val="circle"/>
            <c:size val="5"/>
            <c:spPr>
              <a:solidFill>
                <a:srgbClr val="a31f34"/>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0"/>
            <c:extLst>
              <c:ext xmlns:c15="http://schemas.microsoft.com/office/drawing/2012/chart" uri="{CE6537A1-D6FC-4f65-9D91-7224C49458BB}">
                <c15:showLeaderLines val="0"/>
              </c:ext>
            </c:extLst>
          </c:dLbls>
          <c:xVal>
            <c:numRef>
              <c:f>'BXP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'BXP vs Market'!$B$4:$B$13</c:f>
              <c:numCache>
                <c:formatCode>0.00%</c:formatCode>
                <c:ptCount val="10"/>
                <c:pt idx="0">
                  <c:v>0.0502764275314892</c:v>
                </c:pt>
                <c:pt idx="1">
                  <c:v>0.0486146481215886</c:v>
                </c:pt>
                <c:pt idx="2">
                  <c:v>0.0526064414166118</c:v>
                </c:pt>
                <c:pt idx="3">
                  <c:v>0.0503492276370892</c:v>
                </c:pt>
                <c:pt idx="4">
                  <c:v>0.0575633273487352</c:v>
                </c:pt>
                <c:pt idx="5">
                  <c:v>0.0549651884353238</c:v>
                </c:pt>
                <c:pt idx="6">
                  <c:v>0.0748174327247469</c:v>
                </c:pt>
                <c:pt idx="7">
                  <c:v>0.0728110342805111</c:v>
                </c:pt>
                <c:pt idx="8">
                  <c:v>0.0711935318586347</c:v>
                </c:pt>
                <c:pt idx="9">
                  <c:v>0.0748682826340019</c:v>
                </c:pt>
              </c:numCache>
            </c:numRef>
          </c:yVal>
          <c:smooth val="0"/>
        </c:ser>
        <c:ser>
          <c:idx val="1"/>
          <c:order val="1"/>
          <c:tx>
            <c:strRef>
              <c:f>"Green Street Nominal Cap Rate, 51-Market Wtd Avg (4Q)"</c:f>
              <c:strCache>
                <c:ptCount val="1"/>
                <c:pt idx="0">
                  <c:v>Green Street Nominal Cap Rate, 51-Market Wtd Avg (4Q)</c:v>
                </c:pt>
              </c:strCache>
            </c:strRef>
          </c:tx>
          <c:spPr>
            <a:solidFill>
              <a:srgbClr val="1f3b57"/>
            </a:solidFill>
            <a:ln w="28440">
              <a:solidFill>
                <a:srgbClr val="1f3b57"/>
              </a:solidFill>
              <a:round/>
            </a:ln>
          </c:spPr>
          <c:marker>
            <c:symbol val="square"/>
            <c:size val="5"/>
            <c:spPr>
              <a:solidFill>
                <a:srgbClr val="1f3b57"/>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0"/>
            <c:extLst>
              <c:ext xmlns:c15="http://schemas.microsoft.com/office/drawing/2012/chart" uri="{CE6537A1-D6FC-4f65-9D91-7224C49458BB}">
                <c15:showLeaderLines val="0"/>
              </c:ext>
            </c:extLst>
          </c:dLbls>
          <c:xVal>
            <c:numRef>
              <c:f>'BXP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'BXP vs Market'!$T$4:$T$13</c:f>
              <c:numCache>
                <c:formatCode>0.00%</c:formatCode>
                <c:ptCount val="10"/>
                <c:pt idx="0">
                  <c:v>0.05658714</c:v>
                </c:pt>
                <c:pt idx="1">
                  <c:v>0.05803697</c:v>
                </c:pt>
                <c:pt idx="2">
                  <c:v>0.0583128</c:v>
                </c:pt>
                <c:pt idx="3">
                  <c:v>0.05915908</c:v>
                </c:pt>
                <c:pt idx="4">
                  <c:v>0.06399001</c:v>
                </c:pt>
                <c:pt idx="5">
                  <c:v>0.06497242</c:v>
                </c:pt>
                <c:pt idx="6">
                  <c:v>0.07948753</c:v>
                </c:pt>
                <c:pt idx="7">
                  <c:v>0.10690485</c:v>
                </c:pt>
                <c:pt idx="8">
                  <c:v>0.10737802</c:v>
                </c:pt>
                <c:pt idx="9">
                  <c:v>0.1048993</c:v>
                </c:pt>
              </c:numCache>
            </c:numRef>
          </c:yVal>
          <c:smooth val="0"/>
        </c:ser>
        <c:ser>
          <c:idx val="2"/>
          <c:order val="2"/>
          <c:tx>
            <c:strRef>
              <c:f>"10-Yr UST Yield"</c:f>
              <c:strCache>
                <c:ptCount val="1"/>
                <c:pt idx="0">
                  <c:v>10-Yr UST Yield</c:v>
                </c:pt>
              </c:strCache>
            </c:strRef>
          </c:tx>
          <c:spPr>
            <a:solidFill>
              <a:srgbClr val="8a8a8a"/>
            </a:solidFill>
            <a:ln w="28440">
              <a:solidFill>
                <a:srgbClr val="8a8a8a"/>
              </a:solidFill>
              <a:prstDash val="sysDot"/>
              <a:round/>
            </a:ln>
          </c:spPr>
          <c:marker>
            <c:symbol val="dash"/>
            <c:size val="4"/>
            <c:spPr>
              <a:solidFill>
                <a:srgbClr val="8a8a8a"/>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0"/>
            <c:extLst>
              <c:ext xmlns:c15="http://schemas.microsoft.com/office/drawing/2012/chart" uri="{CE6537A1-D6FC-4f65-9D91-7224C49458BB}">
                <c15:showLeaderLines val="0"/>
              </c:ext>
            </c:extLst>
          </c:dLbls>
          <c:xVal>
            <c:numRef>
              <c:f>'BXP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'BXP vs Market'!$C$4:$C$13</c:f>
              <c:numCache>
                <c:formatCode>0.00%</c:formatCode>
                <c:ptCount val="10"/>
                <c:pt idx="0">
                  <c:v>0.0245</c:v>
                </c:pt>
                <c:pt idx="1">
                  <c:v>0.024</c:v>
                </c:pt>
                <c:pt idx="2">
                  <c:v>0.0269</c:v>
                </c:pt>
                <c:pt idx="3">
                  <c:v>0.0192</c:v>
                </c:pt>
                <c:pt idx="4">
                  <c:v>0.0093</c:v>
                </c:pt>
                <c:pt idx="5">
                  <c:v>0.0152</c:v>
                </c:pt>
                <c:pt idx="6">
                  <c:v>0.0388</c:v>
                </c:pt>
                <c:pt idx="7">
                  <c:v>0.0388</c:v>
                </c:pt>
                <c:pt idx="8">
                  <c:v>0.0458</c:v>
                </c:pt>
                <c:pt idx="9">
                  <c:v>0.0418</c:v>
                </c:pt>
              </c:numCache>
            </c:numRef>
          </c:yVal>
          <c:smooth val="0"/>
        </c:ser>
        <c:axId val="23358543"/>
        <c:axId val="33129249"/>
      </c:scatterChart>
      <c:valAx>
        <c:axId val="23358543"/>
        <c:scaling>
          <c:orientation val="minMax"/>
        </c:scaling>
        <c:delete val="0"/>
        <c:axPos val="b"/>
        <c:numFmt formatCode="0" sourceLinked="0"/>
        <c:majorTickMark val="none"/>
        <c:minorTickMark val="none"/>
        <c:tickLblPos val="low"/>
        <c:spPr>
          <a:ln w="0">
            <a:solidFill>
              <a:srgbClr val="b3b3b3"/>
            </a:solidFill>
          </a:ln>
        </c:spPr>
        <c:txPr>
          <a:bodyPr/>
          <a:lstStyle/>
          <a:p>
            <a:pPr>
              <a:defRPr b="0" sz="1000" spc="-1" strike="noStrike">
                <a:solidFill>
                  <a:srgbClr val="000000"/>
                </a:solidFill>
                <a:latin typeface="Calibri"/>
              </a:defRPr>
            </a:pPr>
          </a:p>
        </c:txPr>
        <c:crossAx val="33129249"/>
        <c:crosses val="autoZero"/>
        <c:crossBetween val="midCat"/>
        <c:majorUnit val="1"/>
      </c:valAx>
      <c:valAx>
        <c:axId val="33129249"/>
        <c:scaling>
          <c:orientation val="minMax"/>
        </c:scaling>
        <c:delete val="0"/>
        <c:axPos val="l"/>
        <c:majorGridlines>
          <c:spPr>
            <a:ln w="0">
              <a:solidFill>
                <a:srgbClr val="b3b3b3"/>
              </a:solidFill>
            </a:ln>
          </c:spPr>
        </c:majorGridlines>
        <c:numFmt formatCode="0.0%"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23358543"/>
        <c:crosses val="autoZero"/>
        <c:crossBetween val="midCat"/>
      </c:valAx>
      <c:spPr>
        <a:noFill/>
        <a:ln w="0">
          <a:noFill/>
        </a:ln>
      </c:spPr>
    </c:plotArea>
    <c:legend>
      <c:legendPos val="b"/>
      <c:overlay val="0"/>
      <c:spPr>
        <a:noFill/>
        <a:ln w="0">
          <a:noFill/>
        </a:ln>
      </c:spPr>
      <c:txPr>
        <a:bodyPr/>
        <a:lstStyle/>
        <a:p>
          <a:pPr>
            <a:defRPr b="0" sz="1000" spc="-1" strike="noStrike">
              <a:solidFill>
                <a:srgbClr val="000000"/>
              </a:solidFill>
              <a:latin typeface="Calibri"/>
            </a:defRPr>
          </a:pPr>
        </a:p>
      </c:txPr>
    </c:legend>
    <c:plotVisOnly val="1"/>
    <c:dispBlanksAs val="gap"/>
  </c:chart>
  <c:spPr>
    <a:solidFill>
      <a:srgbClr val="ffffff"/>
    </a:solidFill>
    <a:ln w="9360">
      <a:solidFill>
        <a:srgbClr val="d9d9d9"/>
      </a:solidFill>
      <a:round/>
    </a:ln>
  </c:spPr>
</c:chartSpace>
</file>

<file path=xl/charts/chart9.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lang="en-US" sz="1200" spc="-1" strike="noStrike">
                <a:solidFill>
                  <a:srgbClr val="000000"/>
                </a:solidFill>
                <a:latin typeface="Calibri"/>
              </a:defRPr>
            </a:pPr>
            <a:r>
              <a:rPr b="1" lang="en-US" sz="1200" spc="-1" strike="noStrike">
                <a:solidFill>
                  <a:srgbClr val="000000"/>
                </a:solidFill>
                <a:latin typeface="Calibri"/>
              </a:rPr>
              <a:t>Office Values vs. Construction Costs vs. CPI, Indexed to 2016 (2016-2025)</a:t>
            </a:r>
          </a:p>
        </c:rich>
      </c:tx>
      <c:overlay val="0"/>
      <c:spPr>
        <a:noFill/>
        <a:ln w="0">
          <a:noFill/>
        </a:ln>
      </c:spPr>
    </c:title>
    <c:autoTitleDeleted val="0"/>
    <c:plotArea>
      <c:layout>
        <c:manualLayout>
          <c:layoutTarget val="inner"/>
          <c:xMode val="edge"/>
          <c:yMode val="edge"/>
          <c:x val="0.100072876639724"/>
          <c:y val="0.160271228232393"/>
          <c:w val="0.799092354577978"/>
          <c:h val="0.619355832948066"/>
        </c:manualLayout>
      </c:layout>
      <c:scatterChart>
        <c:scatterStyle val="lineMarker"/>
        <c:varyColors val="0"/>
        <c:ser>
          <c:idx val="0"/>
          <c:order val="0"/>
          <c:tx>
            <c:strRef>
              <c:f>"Office Property Values (Green Street CPPI)"</c:f>
              <c:strCache>
                <c:ptCount val="1"/>
                <c:pt idx="0">
                  <c:v>Office Property Values (Green Street CPPI)</c:v>
                </c:pt>
              </c:strCache>
            </c:strRef>
          </c:tx>
          <c:spPr>
            <a:solidFill>
              <a:srgbClr val="a31f34"/>
            </a:solidFill>
            <a:ln w="28440">
              <a:solidFill>
                <a:srgbClr val="a31f34"/>
              </a:solidFill>
              <a:round/>
            </a:ln>
          </c:spPr>
          <c:marker>
            <c:symbol val="circle"/>
            <c:size val="5"/>
            <c:spPr>
              <a:solidFill>
                <a:srgbClr val="a31f34"/>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0"/>
            <c:extLst>
              <c:ext xmlns:c15="http://schemas.microsoft.com/office/drawing/2012/chart" uri="{CE6537A1-D6FC-4f65-9D91-7224C49458BB}">
                <c15:showLeaderLines val="0"/>
              </c:ext>
            </c:extLst>
          </c:dLbls>
          <c:xVal>
            <c:numRef>
              <c:f>'BXP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'BXP vs Market'!$U$4:$U$13</c:f>
              <c:numCache>
                <c:formatCode>#,##0</c:formatCode>
                <c:ptCount val="10"/>
                <c:pt idx="0">
                  <c:v>100</c:v>
                </c:pt>
                <c:pt idx="1">
                  <c:v>102.414193258894</c:v>
                </c:pt>
                <c:pt idx="2">
                  <c:v>102.121786086096</c:v>
                </c:pt>
                <c:pt idx="3">
                  <c:v>104.704183104862</c:v>
                </c:pt>
                <c:pt idx="4">
                  <c:v>97.1388418279712</c:v>
                </c:pt>
                <c:pt idx="5">
                  <c:v>96.7262233029072</c:v>
                </c:pt>
                <c:pt idx="6">
                  <c:v>75.3039532955945</c:v>
                </c:pt>
                <c:pt idx="7">
                  <c:v>44.7050530590909</c:v>
                </c:pt>
                <c:pt idx="8">
                  <c:v>43.6731644078836</c:v>
                </c:pt>
                <c:pt idx="9">
                  <c:v>44.169712307612</c:v>
                </c:pt>
              </c:numCache>
            </c:numRef>
          </c:yVal>
          <c:smooth val="0"/>
        </c:ser>
        <c:ser>
          <c:idx val="1"/>
          <c:order val="1"/>
          <c:tx>
            <c:strRef>
              <c:f>"Non-Residential Construction Costs (PPI)"</c:f>
              <c:strCache>
                <c:ptCount val="1"/>
                <c:pt idx="0">
                  <c:v>Non-Residential Construction Costs (PPI)</c:v>
                </c:pt>
              </c:strCache>
            </c:strRef>
          </c:tx>
          <c:spPr>
            <a:solidFill>
              <a:srgbClr val="1f3b57"/>
            </a:solidFill>
            <a:ln w="28440">
              <a:solidFill>
                <a:srgbClr val="1f3b57"/>
              </a:solidFill>
              <a:round/>
            </a:ln>
          </c:spPr>
          <c:marker>
            <c:symbol val="square"/>
            <c:size val="5"/>
            <c:spPr>
              <a:solidFill>
                <a:srgbClr val="1f3b57"/>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0"/>
            <c:extLst>
              <c:ext xmlns:c15="http://schemas.microsoft.com/office/drawing/2012/chart" uri="{CE6537A1-D6FC-4f65-9D91-7224C49458BB}">
                <c15:showLeaderLines val="0"/>
              </c:ext>
            </c:extLst>
          </c:dLbls>
          <c:xVal>
            <c:numRef>
              <c:f>'BXP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'BXP vs Market'!$V$4:$V$13</c:f>
              <c:numCache>
                <c:formatCode>#,##0</c:formatCode>
                <c:ptCount val="10"/>
                <c:pt idx="0">
                  <c:v>100</c:v>
                </c:pt>
                <c:pt idx="1">
                  <c:v>102.196167016261</c:v>
                </c:pt>
                <c:pt idx="2">
                  <c:v>106.491690421126</c:v>
                </c:pt>
                <c:pt idx="3">
                  <c:v>111.952526936661</c:v>
                </c:pt>
                <c:pt idx="4">
                  <c:v>114.716111798347</c:v>
                </c:pt>
                <c:pt idx="5">
                  <c:v>120.671758188566</c:v>
                </c:pt>
                <c:pt idx="6">
                  <c:v>144.713064056365</c:v>
                </c:pt>
                <c:pt idx="7">
                  <c:v>156.117893831012</c:v>
                </c:pt>
                <c:pt idx="8">
                  <c:v>156.281037666505</c:v>
                </c:pt>
                <c:pt idx="9">
                  <c:v>158.821420247764</c:v>
                </c:pt>
              </c:numCache>
            </c:numRef>
          </c:yVal>
          <c:smooth val="0"/>
        </c:ser>
        <c:ser>
          <c:idx val="2"/>
          <c:order val="2"/>
          <c:tx>
            <c:strRef>
              <c:f>"CPI (All Urban Consumers)"</c:f>
              <c:strCache>
                <c:ptCount val="1"/>
                <c:pt idx="0">
                  <c:v>CPI (All Urban Consumers)</c:v>
                </c:pt>
              </c:strCache>
            </c:strRef>
          </c:tx>
          <c:spPr>
            <a:solidFill>
              <a:srgbClr val="8a8a8a"/>
            </a:solidFill>
            <a:ln w="28440">
              <a:solidFill>
                <a:srgbClr val="8a8a8a"/>
              </a:solidFill>
              <a:prstDash val="dash"/>
              <a:round/>
            </a:ln>
          </c:spPr>
          <c:marker>
            <c:symbol val="dash"/>
            <c:size val="4"/>
            <c:spPr>
              <a:solidFill>
                <a:srgbClr val="8a8a8a"/>
              </a:solidFill>
            </c:spPr>
          </c:marker>
          <c:dLbls>
            <c:txPr>
              <a:bodyPr wrap="square"/>
              <a:lstStyle/>
              <a:p>
                <a:pPr>
                  <a:defRPr b="0" sz="1000" spc="-1" strike="noStrike">
                    <a:solidFill>
                      <a:srgbClr val="000000"/>
                    </a:solidFill>
                    <a:latin typeface="Calibri"/>
                  </a:defRPr>
                </a:pPr>
              </a:p>
            </c:txPr>
            <c:dLblPos val="r"/>
            <c:showLegendKey val="0"/>
            <c:showVal val="0"/>
            <c:showCatName val="0"/>
            <c:showSerName val="0"/>
            <c:showPercent val="0"/>
            <c:separator>; </c:separator>
            <c:showLeaderLines val="0"/>
            <c:extLst>
              <c:ext xmlns:c15="http://schemas.microsoft.com/office/drawing/2012/chart" uri="{CE6537A1-D6FC-4f65-9D91-7224C49458BB}">
                <c15:showLeaderLines val="0"/>
              </c:ext>
            </c:extLst>
          </c:dLbls>
          <c:xVal>
            <c:numRef>
              <c:f>'BXP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'BXP vs Market'!$W$4:$W$13</c:f>
              <c:numCache>
                <c:formatCode>#,##0</c:formatCode>
                <c:ptCount val="10"/>
                <c:pt idx="0">
                  <c:v>100</c:v>
                </c:pt>
                <c:pt idx="1">
                  <c:v>102.13162225787</c:v>
                </c:pt>
                <c:pt idx="2">
                  <c:v>104.622820357909</c:v>
                </c:pt>
                <c:pt idx="3">
                  <c:v>106.519864169497</c:v>
                </c:pt>
                <c:pt idx="4">
                  <c:v>107.85441969959</c:v>
                </c:pt>
                <c:pt idx="5">
                  <c:v>112.903064519489</c:v>
                </c:pt>
                <c:pt idx="6">
                  <c:v>121.924959896669</c:v>
                </c:pt>
                <c:pt idx="7">
                  <c:v>126.956938397117</c:v>
                </c:pt>
                <c:pt idx="8">
                  <c:v>130.704776983813</c:v>
                </c:pt>
                <c:pt idx="9">
                  <c:v>134.14803858253</c:v>
                </c:pt>
              </c:numCache>
            </c:numRef>
          </c:yVal>
          <c:smooth val="0"/>
        </c:ser>
        <c:axId val="31937973"/>
        <c:axId val="87659963"/>
      </c:scatterChart>
      <c:valAx>
        <c:axId val="31937973"/>
        <c:scaling>
          <c:orientation val="minMax"/>
        </c:scaling>
        <c:delete val="0"/>
        <c:axPos val="b"/>
        <c:numFmt formatCode="0" sourceLinked="0"/>
        <c:majorTickMark val="none"/>
        <c:minorTickMark val="none"/>
        <c:tickLblPos val="low"/>
        <c:spPr>
          <a:ln w="0">
            <a:solidFill>
              <a:srgbClr val="b3b3b3"/>
            </a:solidFill>
          </a:ln>
        </c:spPr>
        <c:txPr>
          <a:bodyPr/>
          <a:lstStyle/>
          <a:p>
            <a:pPr>
              <a:defRPr b="0" sz="1000" spc="-1" strike="noStrike">
                <a:solidFill>
                  <a:srgbClr val="000000"/>
                </a:solidFill>
                <a:latin typeface="Calibri"/>
              </a:defRPr>
            </a:pPr>
          </a:p>
        </c:txPr>
        <c:crossAx val="87659963"/>
        <c:crosses val="autoZero"/>
        <c:crossBetween val="midCat"/>
        <c:majorUnit val="1"/>
      </c:valAx>
      <c:valAx>
        <c:axId val="87659963"/>
        <c:scaling>
          <c:orientation val="minMax"/>
        </c:scaling>
        <c:delete val="0"/>
        <c:axPos val="l"/>
        <c:majorGridlines>
          <c:spPr>
            <a:ln w="0">
              <a:solidFill>
                <a:srgbClr val="b3b3b3"/>
              </a:solidFill>
            </a:ln>
          </c:spPr>
        </c:majorGridlines>
        <c:numFmt formatCode="0" sourceLinked="0"/>
        <c:majorTickMark val="none"/>
        <c:minorTickMark val="none"/>
        <c:tickLblPos val="nextTo"/>
        <c:spPr>
          <a:ln w="0">
            <a:solidFill>
              <a:srgbClr val="b3b3b3"/>
            </a:solidFill>
          </a:ln>
        </c:spPr>
        <c:txPr>
          <a:bodyPr/>
          <a:lstStyle/>
          <a:p>
            <a:pPr>
              <a:defRPr b="0" sz="1000" spc="-1" strike="noStrike">
                <a:solidFill>
                  <a:srgbClr val="000000"/>
                </a:solidFill>
                <a:latin typeface="Calibri"/>
              </a:defRPr>
            </a:pPr>
          </a:p>
        </c:txPr>
        <c:crossAx val="31937973"/>
        <c:crosses val="autoZero"/>
        <c:crossBetween val="midCat"/>
      </c:valAx>
      <c:spPr>
        <a:noFill/>
        <a:ln w="0">
          <a:noFill/>
        </a:ln>
      </c:spPr>
    </c:plotArea>
    <c:legend>
      <c:legendPos val="b"/>
      <c:overlay val="0"/>
      <c:spPr>
        <a:noFill/>
        <a:ln w="0">
          <a:noFill/>
        </a:ln>
      </c:spPr>
      <c:txPr>
        <a:bodyPr/>
        <a:lstStyle/>
        <a:p>
          <a:pPr>
            <a:defRPr b="0" sz="1000" spc="-1" strike="noStrike">
              <a:solidFill>
                <a:srgbClr val="000000"/>
              </a:solidFill>
              <a:latin typeface="Calibri"/>
            </a:defRPr>
          </a:pPr>
        </a:p>
      </c:txPr>
    </c:legend>
    <c:plotVisOnly val="1"/>
    <c:dispBlanksAs val="gap"/>
  </c:chart>
  <c:spPr>
    <a:solidFill>
      <a:srgbClr val="ffffff"/>
    </a:solidFill>
    <a:ln w="9360">
      <a:solidFill>
        <a:srgbClr val="d9d9d9"/>
      </a:solidFill>
      <a:round/>
    </a:ln>
  </c:spPr>
</c:chartSpace>
</file>

<file path=xl/drawings/_rels/drawing1.xml.rels><?xml version="1.0" encoding="UTF-8"?>
<Relationships xmlns="http://schemas.openxmlformats.org/package/2006/relationships"><Relationship Id="rId1" Type="http://schemas.openxmlformats.org/officeDocument/2006/relationships/chart" Target="../charts/chart1.xml"/><Relationship Id="rId2" Type="http://schemas.openxmlformats.org/officeDocument/2006/relationships/chart" Target="../charts/chart2.xml"/><Relationship Id="rId3" Type="http://schemas.openxmlformats.org/officeDocument/2006/relationships/chart" Target="../charts/chart3.xml"/><Relationship Id="rId4" Type="http://schemas.openxmlformats.org/officeDocument/2006/relationships/chart" Target="../charts/chart4.xml"/><Relationship Id="rId5" Type="http://schemas.openxmlformats.org/officeDocument/2006/relationships/chart" Target="../charts/chart5.xml"/><Relationship Id="rId6" Type="http://schemas.openxmlformats.org/officeDocument/2006/relationships/chart" Target="../charts/chart6.xml"/><Relationship Id="rId7" Type="http://schemas.openxmlformats.org/officeDocument/2006/relationships/chart" Target="../charts/chart7.xml"/><Relationship Id="rId8" Type="http://schemas.openxmlformats.org/officeDocument/2006/relationships/chart" Target="../charts/chart8.xml"/><Relationship Id="rId9" Type="http://schemas.openxmlformats.org/officeDocument/2006/relationships/chart" Target="../charts/chart9.xml"/><Relationship Id="rId10" Type="http://schemas.openxmlformats.org/officeDocument/2006/relationships/chart" Target="../charts/chart10.xml"/><Relationship Id="rId11" Type="http://schemas.openxmlformats.org/officeDocument/2006/relationships/chart" Target="../charts/chart11.xml"/><Relationship Id="rId12" Type="http://schemas.openxmlformats.org/officeDocument/2006/relationships/chart" Target="../charts/chart12.xml"/><Relationship Id="rId13" Type="http://schemas.openxmlformats.org/officeDocument/2006/relationships/chart" Target="../charts/chart13.xml"/>
</Relationships>
</file>

<file path=xl/drawings/_rels/drawing2.xml.rels><?xml version="1.0" encoding="UTF-8"?>
<Relationships xmlns="http://schemas.openxmlformats.org/package/2006/relationships"><Relationship Id="rId1" Type="http://schemas.openxmlformats.org/officeDocument/2006/relationships/chart" Target="../charts/chart14.xml"/><Relationship Id="rId2" Type="http://schemas.openxmlformats.org/officeDocument/2006/relationships/chart" Target="../charts/chart15.xml"/><Relationship Id="rId3" Type="http://schemas.openxmlformats.org/officeDocument/2006/relationships/chart" Target="../charts/chart16.xml"/><Relationship Id="rId4" Type="http://schemas.openxmlformats.org/officeDocument/2006/relationships/chart" Target="../charts/chart17.xml"/><Relationship Id="rId5" Type="http://schemas.openxmlformats.org/officeDocument/2006/relationships/chart" Target="../charts/chart18.xml"/><Relationship Id="rId6" Type="http://schemas.openxmlformats.org/officeDocument/2006/relationships/chart" Target="../charts/chart19.xml"/><Relationship Id="rId7" Type="http://schemas.openxmlformats.org/officeDocument/2006/relationships/chart" Target="../charts/chart20.xml"/><Relationship Id="rId8" Type="http://schemas.openxmlformats.org/officeDocument/2006/relationships/chart" Target="../charts/chart21.xml"/><Relationship Id="rId9" Type="http://schemas.openxmlformats.org/officeDocument/2006/relationships/chart" Target="../charts/chart22.xml"/><Relationship Id="rId10" Type="http://schemas.openxmlformats.org/officeDocument/2006/relationships/chart" Target="../charts/chart23.xml"/><Relationship Id="rId11" Type="http://schemas.openxmlformats.org/officeDocument/2006/relationships/chart" Target="../charts/chart24.xml"/><Relationship Id="rId12" Type="http://schemas.openxmlformats.org/officeDocument/2006/relationships/chart" Target="../charts/chart25.xml"/><Relationship Id="rId13" Type="http://schemas.openxmlformats.org/officeDocument/2006/relationships/chart" Target="../charts/chart26.xml"/>
</Relationships>
</file>

<file path=xl/drawings/_rels/drawing3.xml.rels><?xml version="1.0" encoding="UTF-8"?>
<Relationships xmlns="http://schemas.openxmlformats.org/package/2006/relationships"><Relationship Id="rId1" Type="http://schemas.openxmlformats.org/officeDocument/2006/relationships/chart" Target="../charts/chart27.xml"/><Relationship Id="rId2" Type="http://schemas.openxmlformats.org/officeDocument/2006/relationships/chart" Target="../charts/chart28.xml"/><Relationship Id="rId3" Type="http://schemas.openxmlformats.org/officeDocument/2006/relationships/chart" Target="../charts/chart29.xml"/><Relationship Id="rId4" Type="http://schemas.openxmlformats.org/officeDocument/2006/relationships/chart" Target="../charts/chart30.xml"/><Relationship Id="rId5" Type="http://schemas.openxmlformats.org/officeDocument/2006/relationships/chart" Target="../charts/chart31.xml"/><Relationship Id="rId6" Type="http://schemas.openxmlformats.org/officeDocument/2006/relationships/chart" Target="../charts/chart32.xml"/><Relationship Id="rId7" Type="http://schemas.openxmlformats.org/officeDocument/2006/relationships/chart" Target="../charts/chart33.xml"/><Relationship Id="rId8" Type="http://schemas.openxmlformats.org/officeDocument/2006/relationships/chart" Target="../charts/chart34.xml"/><Relationship Id="rId9" Type="http://schemas.openxmlformats.org/officeDocument/2006/relationships/chart" Target="../charts/chart35.xml"/><Relationship Id="rId10" Type="http://schemas.openxmlformats.org/officeDocument/2006/relationships/chart" Target="../charts/chart36.xml"/><Relationship Id="rId11" Type="http://schemas.openxmlformats.org/officeDocument/2006/relationships/chart" Target="../charts/chart37.xml"/><Relationship Id="rId12" Type="http://schemas.openxmlformats.org/officeDocument/2006/relationships/chart" Target="../charts/chart38.xml"/><Relationship Id="rId13" Type="http://schemas.openxmlformats.org/officeDocument/2006/relationships/chart" Target="../charts/chart39.xml"/>
</Relationships>
</file>

<file path=xl/drawings/_rels/drawing4.xml.rels><?xml version="1.0" encoding="UTF-8"?>
<Relationships xmlns="http://schemas.openxmlformats.org/package/2006/relationships"><Relationship Id="rId1" Type="http://schemas.openxmlformats.org/officeDocument/2006/relationships/chart" Target="../charts/chart40.xml"/><Relationship Id="rId2" Type="http://schemas.openxmlformats.org/officeDocument/2006/relationships/chart" Target="../charts/chart41.xml"/><Relationship Id="rId3" Type="http://schemas.openxmlformats.org/officeDocument/2006/relationships/chart" Target="../charts/chart42.xml"/><Relationship Id="rId4" Type="http://schemas.openxmlformats.org/officeDocument/2006/relationships/chart" Target="../charts/chart43.xml"/><Relationship Id="rId5" Type="http://schemas.openxmlformats.org/officeDocument/2006/relationships/chart" Target="../charts/chart44.xml"/><Relationship Id="rId6" Type="http://schemas.openxmlformats.org/officeDocument/2006/relationships/chart" Target="../charts/chart45.xml"/><Relationship Id="rId7" Type="http://schemas.openxmlformats.org/officeDocument/2006/relationships/chart" Target="../charts/chart46.xml"/><Relationship Id="rId8" Type="http://schemas.openxmlformats.org/officeDocument/2006/relationships/chart" Target="../charts/chart47.xml"/><Relationship Id="rId9" Type="http://schemas.openxmlformats.org/officeDocument/2006/relationships/chart" Target="../charts/chart48.xml"/><Relationship Id="rId10" Type="http://schemas.openxmlformats.org/officeDocument/2006/relationships/chart" Target="../charts/chart49.xml"/><Relationship Id="rId11" Type="http://schemas.openxmlformats.org/officeDocument/2006/relationships/chart" Target="../charts/chart50.xml"/><Relationship Id="rId12" Type="http://schemas.openxmlformats.org/officeDocument/2006/relationships/chart" Target="../charts/chart51.xml"/><Relationship Id="rId13" Type="http://schemas.openxmlformats.org/officeDocument/2006/relationships/chart" Target="../charts/chart52.xml"/>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44</xdr:row>
      <xdr:rowOff>0</xdr:rowOff>
    </xdr:from>
    <xdr:to>
      <xdr:col>10</xdr:col>
      <xdr:colOff>294480</xdr:colOff>
      <xdr:row>68</xdr:row>
      <xdr:rowOff>99720</xdr:rowOff>
    </xdr:to>
    <xdr:graphicFrame>
      <xdr:nvGraphicFramePr>
        <xdr:cNvPr id="0" name="Chart 1"/>
        <xdr:cNvGraphicFramePr/>
      </xdr:nvGraphicFramePr>
      <xdr:xfrm>
        <a:off x="0" y="9144000"/>
        <a:ext cx="10867320" cy="467172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69</xdr:row>
      <xdr:rowOff>0</xdr:rowOff>
    </xdr:from>
    <xdr:to>
      <xdr:col>10</xdr:col>
      <xdr:colOff>294480</xdr:colOff>
      <xdr:row>93</xdr:row>
      <xdr:rowOff>99720</xdr:rowOff>
    </xdr:to>
    <xdr:graphicFrame>
      <xdr:nvGraphicFramePr>
        <xdr:cNvPr id="1" name="Chart 2"/>
        <xdr:cNvGraphicFramePr/>
      </xdr:nvGraphicFramePr>
      <xdr:xfrm>
        <a:off x="0" y="13906440"/>
        <a:ext cx="10867320" cy="467172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94</xdr:row>
      <xdr:rowOff>0</xdr:rowOff>
    </xdr:from>
    <xdr:to>
      <xdr:col>10</xdr:col>
      <xdr:colOff>294480</xdr:colOff>
      <xdr:row>118</xdr:row>
      <xdr:rowOff>99720</xdr:rowOff>
    </xdr:to>
    <xdr:graphicFrame>
      <xdr:nvGraphicFramePr>
        <xdr:cNvPr id="2" name="Chart 3"/>
        <xdr:cNvGraphicFramePr/>
      </xdr:nvGraphicFramePr>
      <xdr:xfrm>
        <a:off x="0" y="18668880"/>
        <a:ext cx="10867320" cy="467172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294</xdr:row>
      <xdr:rowOff>0</xdr:rowOff>
    </xdr:from>
    <xdr:to>
      <xdr:col>10</xdr:col>
      <xdr:colOff>294480</xdr:colOff>
      <xdr:row>318</xdr:row>
      <xdr:rowOff>99720</xdr:rowOff>
    </xdr:to>
    <xdr:graphicFrame>
      <xdr:nvGraphicFramePr>
        <xdr:cNvPr id="3" name="Chart 4"/>
        <xdr:cNvGraphicFramePr/>
      </xdr:nvGraphicFramePr>
      <xdr:xfrm>
        <a:off x="0" y="56769120"/>
        <a:ext cx="10867320" cy="467172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0</xdr:colOff>
      <xdr:row>319</xdr:row>
      <xdr:rowOff>0</xdr:rowOff>
    </xdr:from>
    <xdr:to>
      <xdr:col>10</xdr:col>
      <xdr:colOff>294480</xdr:colOff>
      <xdr:row>343</xdr:row>
      <xdr:rowOff>99720</xdr:rowOff>
    </xdr:to>
    <xdr:graphicFrame>
      <xdr:nvGraphicFramePr>
        <xdr:cNvPr id="4" name="Chart 5"/>
        <xdr:cNvGraphicFramePr/>
      </xdr:nvGraphicFramePr>
      <xdr:xfrm>
        <a:off x="0" y="61531560"/>
        <a:ext cx="10867320" cy="467172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0</xdr:col>
      <xdr:colOff>0</xdr:colOff>
      <xdr:row>119</xdr:row>
      <xdr:rowOff>0</xdr:rowOff>
    </xdr:from>
    <xdr:to>
      <xdr:col>10</xdr:col>
      <xdr:colOff>294480</xdr:colOff>
      <xdr:row>143</xdr:row>
      <xdr:rowOff>99720</xdr:rowOff>
    </xdr:to>
    <xdr:graphicFrame>
      <xdr:nvGraphicFramePr>
        <xdr:cNvPr id="5" name="Chart 6"/>
        <xdr:cNvGraphicFramePr/>
      </xdr:nvGraphicFramePr>
      <xdr:xfrm>
        <a:off x="0" y="23431680"/>
        <a:ext cx="10867320" cy="467172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0</xdr:col>
      <xdr:colOff>0</xdr:colOff>
      <xdr:row>144</xdr:row>
      <xdr:rowOff>0</xdr:rowOff>
    </xdr:from>
    <xdr:to>
      <xdr:col>10</xdr:col>
      <xdr:colOff>294480</xdr:colOff>
      <xdr:row>168</xdr:row>
      <xdr:rowOff>99720</xdr:rowOff>
    </xdr:to>
    <xdr:graphicFrame>
      <xdr:nvGraphicFramePr>
        <xdr:cNvPr id="6" name="Chart 7"/>
        <xdr:cNvGraphicFramePr/>
      </xdr:nvGraphicFramePr>
      <xdr:xfrm>
        <a:off x="0" y="28194120"/>
        <a:ext cx="10867320" cy="467172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344</xdr:row>
      <xdr:rowOff>0</xdr:rowOff>
    </xdr:from>
    <xdr:to>
      <xdr:col>10</xdr:col>
      <xdr:colOff>294480</xdr:colOff>
      <xdr:row>368</xdr:row>
      <xdr:rowOff>99720</xdr:rowOff>
    </xdr:to>
    <xdr:graphicFrame>
      <xdr:nvGraphicFramePr>
        <xdr:cNvPr id="7" name="Chart 8"/>
        <xdr:cNvGraphicFramePr/>
      </xdr:nvGraphicFramePr>
      <xdr:xfrm>
        <a:off x="0" y="66294000"/>
        <a:ext cx="10867320" cy="467172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0</xdr:col>
      <xdr:colOff>0</xdr:colOff>
      <xdr:row>219</xdr:row>
      <xdr:rowOff>0</xdr:rowOff>
    </xdr:from>
    <xdr:to>
      <xdr:col>10</xdr:col>
      <xdr:colOff>294480</xdr:colOff>
      <xdr:row>243</xdr:row>
      <xdr:rowOff>99720</xdr:rowOff>
    </xdr:to>
    <xdr:graphicFrame>
      <xdr:nvGraphicFramePr>
        <xdr:cNvPr id="8" name="Chart 9"/>
        <xdr:cNvGraphicFramePr/>
      </xdr:nvGraphicFramePr>
      <xdr:xfrm>
        <a:off x="0" y="42481440"/>
        <a:ext cx="10867320" cy="467172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0</xdr:col>
      <xdr:colOff>0</xdr:colOff>
      <xdr:row>169</xdr:row>
      <xdr:rowOff>0</xdr:rowOff>
    </xdr:from>
    <xdr:to>
      <xdr:col>10</xdr:col>
      <xdr:colOff>294480</xdr:colOff>
      <xdr:row>193</xdr:row>
      <xdr:rowOff>99720</xdr:rowOff>
    </xdr:to>
    <xdr:graphicFrame>
      <xdr:nvGraphicFramePr>
        <xdr:cNvPr id="9" name="Chart 10"/>
        <xdr:cNvGraphicFramePr/>
      </xdr:nvGraphicFramePr>
      <xdr:xfrm>
        <a:off x="0" y="32956560"/>
        <a:ext cx="10867320" cy="467172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0</xdr:col>
      <xdr:colOff>0</xdr:colOff>
      <xdr:row>194</xdr:row>
      <xdr:rowOff>0</xdr:rowOff>
    </xdr:from>
    <xdr:to>
      <xdr:col>10</xdr:col>
      <xdr:colOff>294480</xdr:colOff>
      <xdr:row>218</xdr:row>
      <xdr:rowOff>99720</xdr:rowOff>
    </xdr:to>
    <xdr:graphicFrame>
      <xdr:nvGraphicFramePr>
        <xdr:cNvPr id="10" name="Chart 11"/>
        <xdr:cNvGraphicFramePr/>
      </xdr:nvGraphicFramePr>
      <xdr:xfrm>
        <a:off x="0" y="37719000"/>
        <a:ext cx="10867320" cy="467172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0</xdr:col>
      <xdr:colOff>0</xdr:colOff>
      <xdr:row>269</xdr:row>
      <xdr:rowOff>0</xdr:rowOff>
    </xdr:from>
    <xdr:to>
      <xdr:col>10</xdr:col>
      <xdr:colOff>294480</xdr:colOff>
      <xdr:row>293</xdr:row>
      <xdr:rowOff>99720</xdr:rowOff>
    </xdr:to>
    <xdr:graphicFrame>
      <xdr:nvGraphicFramePr>
        <xdr:cNvPr id="11" name="Chart 12"/>
        <xdr:cNvGraphicFramePr/>
      </xdr:nvGraphicFramePr>
      <xdr:xfrm>
        <a:off x="0" y="52006680"/>
        <a:ext cx="10867320" cy="467172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0</xdr:col>
      <xdr:colOff>0</xdr:colOff>
      <xdr:row>244</xdr:row>
      <xdr:rowOff>0</xdr:rowOff>
    </xdr:from>
    <xdr:to>
      <xdr:col>10</xdr:col>
      <xdr:colOff>294480</xdr:colOff>
      <xdr:row>268</xdr:row>
      <xdr:rowOff>99720</xdr:rowOff>
    </xdr:to>
    <xdr:graphicFrame>
      <xdr:nvGraphicFramePr>
        <xdr:cNvPr id="12" name="Chart 13"/>
        <xdr:cNvGraphicFramePr/>
      </xdr:nvGraphicFramePr>
      <xdr:xfrm>
        <a:off x="0" y="47243880"/>
        <a:ext cx="10867320" cy="467172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44</xdr:row>
      <xdr:rowOff>0</xdr:rowOff>
    </xdr:from>
    <xdr:to>
      <xdr:col>10</xdr:col>
      <xdr:colOff>294480</xdr:colOff>
      <xdr:row>68</xdr:row>
      <xdr:rowOff>99720</xdr:rowOff>
    </xdr:to>
    <xdr:graphicFrame>
      <xdr:nvGraphicFramePr>
        <xdr:cNvPr id="13" name="Chart 1"/>
        <xdr:cNvGraphicFramePr/>
      </xdr:nvGraphicFramePr>
      <xdr:xfrm>
        <a:off x="0" y="9144000"/>
        <a:ext cx="10867320" cy="467172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69</xdr:row>
      <xdr:rowOff>0</xdr:rowOff>
    </xdr:from>
    <xdr:to>
      <xdr:col>10</xdr:col>
      <xdr:colOff>294480</xdr:colOff>
      <xdr:row>93</xdr:row>
      <xdr:rowOff>99720</xdr:rowOff>
    </xdr:to>
    <xdr:graphicFrame>
      <xdr:nvGraphicFramePr>
        <xdr:cNvPr id="14" name="Chart 2"/>
        <xdr:cNvGraphicFramePr/>
      </xdr:nvGraphicFramePr>
      <xdr:xfrm>
        <a:off x="0" y="13906440"/>
        <a:ext cx="10867320" cy="467172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94</xdr:row>
      <xdr:rowOff>0</xdr:rowOff>
    </xdr:from>
    <xdr:to>
      <xdr:col>10</xdr:col>
      <xdr:colOff>294480</xdr:colOff>
      <xdr:row>118</xdr:row>
      <xdr:rowOff>99720</xdr:rowOff>
    </xdr:to>
    <xdr:graphicFrame>
      <xdr:nvGraphicFramePr>
        <xdr:cNvPr id="15" name="Chart 3"/>
        <xdr:cNvGraphicFramePr/>
      </xdr:nvGraphicFramePr>
      <xdr:xfrm>
        <a:off x="0" y="18668880"/>
        <a:ext cx="10867320" cy="467172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294</xdr:row>
      <xdr:rowOff>0</xdr:rowOff>
    </xdr:from>
    <xdr:to>
      <xdr:col>10</xdr:col>
      <xdr:colOff>294480</xdr:colOff>
      <xdr:row>318</xdr:row>
      <xdr:rowOff>99720</xdr:rowOff>
    </xdr:to>
    <xdr:graphicFrame>
      <xdr:nvGraphicFramePr>
        <xdr:cNvPr id="16" name="Chart 4"/>
        <xdr:cNvGraphicFramePr/>
      </xdr:nvGraphicFramePr>
      <xdr:xfrm>
        <a:off x="0" y="56769120"/>
        <a:ext cx="10867320" cy="467172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0</xdr:colOff>
      <xdr:row>319</xdr:row>
      <xdr:rowOff>0</xdr:rowOff>
    </xdr:from>
    <xdr:to>
      <xdr:col>10</xdr:col>
      <xdr:colOff>294480</xdr:colOff>
      <xdr:row>343</xdr:row>
      <xdr:rowOff>99720</xdr:rowOff>
    </xdr:to>
    <xdr:graphicFrame>
      <xdr:nvGraphicFramePr>
        <xdr:cNvPr id="17" name="Chart 5"/>
        <xdr:cNvGraphicFramePr/>
      </xdr:nvGraphicFramePr>
      <xdr:xfrm>
        <a:off x="0" y="61531560"/>
        <a:ext cx="10867320" cy="467172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0</xdr:col>
      <xdr:colOff>0</xdr:colOff>
      <xdr:row>119</xdr:row>
      <xdr:rowOff>0</xdr:rowOff>
    </xdr:from>
    <xdr:to>
      <xdr:col>10</xdr:col>
      <xdr:colOff>294480</xdr:colOff>
      <xdr:row>143</xdr:row>
      <xdr:rowOff>99720</xdr:rowOff>
    </xdr:to>
    <xdr:graphicFrame>
      <xdr:nvGraphicFramePr>
        <xdr:cNvPr id="18" name="Chart 6"/>
        <xdr:cNvGraphicFramePr/>
      </xdr:nvGraphicFramePr>
      <xdr:xfrm>
        <a:off x="0" y="23431680"/>
        <a:ext cx="10867320" cy="467172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0</xdr:col>
      <xdr:colOff>0</xdr:colOff>
      <xdr:row>144</xdr:row>
      <xdr:rowOff>0</xdr:rowOff>
    </xdr:from>
    <xdr:to>
      <xdr:col>10</xdr:col>
      <xdr:colOff>294480</xdr:colOff>
      <xdr:row>168</xdr:row>
      <xdr:rowOff>99720</xdr:rowOff>
    </xdr:to>
    <xdr:graphicFrame>
      <xdr:nvGraphicFramePr>
        <xdr:cNvPr id="19" name="Chart 7"/>
        <xdr:cNvGraphicFramePr/>
      </xdr:nvGraphicFramePr>
      <xdr:xfrm>
        <a:off x="0" y="28194120"/>
        <a:ext cx="10867320" cy="467172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344</xdr:row>
      <xdr:rowOff>0</xdr:rowOff>
    </xdr:from>
    <xdr:to>
      <xdr:col>10</xdr:col>
      <xdr:colOff>294480</xdr:colOff>
      <xdr:row>368</xdr:row>
      <xdr:rowOff>99720</xdr:rowOff>
    </xdr:to>
    <xdr:graphicFrame>
      <xdr:nvGraphicFramePr>
        <xdr:cNvPr id="20" name="Chart 8"/>
        <xdr:cNvGraphicFramePr/>
      </xdr:nvGraphicFramePr>
      <xdr:xfrm>
        <a:off x="0" y="66294000"/>
        <a:ext cx="10867320" cy="467172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0</xdr:col>
      <xdr:colOff>0</xdr:colOff>
      <xdr:row>219</xdr:row>
      <xdr:rowOff>0</xdr:rowOff>
    </xdr:from>
    <xdr:to>
      <xdr:col>10</xdr:col>
      <xdr:colOff>294480</xdr:colOff>
      <xdr:row>243</xdr:row>
      <xdr:rowOff>99720</xdr:rowOff>
    </xdr:to>
    <xdr:graphicFrame>
      <xdr:nvGraphicFramePr>
        <xdr:cNvPr id="21" name="Chart 9"/>
        <xdr:cNvGraphicFramePr/>
      </xdr:nvGraphicFramePr>
      <xdr:xfrm>
        <a:off x="0" y="42481440"/>
        <a:ext cx="10867320" cy="467172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0</xdr:col>
      <xdr:colOff>0</xdr:colOff>
      <xdr:row>169</xdr:row>
      <xdr:rowOff>0</xdr:rowOff>
    </xdr:from>
    <xdr:to>
      <xdr:col>10</xdr:col>
      <xdr:colOff>294480</xdr:colOff>
      <xdr:row>193</xdr:row>
      <xdr:rowOff>99720</xdr:rowOff>
    </xdr:to>
    <xdr:graphicFrame>
      <xdr:nvGraphicFramePr>
        <xdr:cNvPr id="22" name="Chart 10"/>
        <xdr:cNvGraphicFramePr/>
      </xdr:nvGraphicFramePr>
      <xdr:xfrm>
        <a:off x="0" y="32956560"/>
        <a:ext cx="10867320" cy="467172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0</xdr:col>
      <xdr:colOff>0</xdr:colOff>
      <xdr:row>194</xdr:row>
      <xdr:rowOff>0</xdr:rowOff>
    </xdr:from>
    <xdr:to>
      <xdr:col>10</xdr:col>
      <xdr:colOff>294480</xdr:colOff>
      <xdr:row>218</xdr:row>
      <xdr:rowOff>99720</xdr:rowOff>
    </xdr:to>
    <xdr:graphicFrame>
      <xdr:nvGraphicFramePr>
        <xdr:cNvPr id="23" name="Chart 11"/>
        <xdr:cNvGraphicFramePr/>
      </xdr:nvGraphicFramePr>
      <xdr:xfrm>
        <a:off x="0" y="37719000"/>
        <a:ext cx="10867320" cy="467172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0</xdr:col>
      <xdr:colOff>0</xdr:colOff>
      <xdr:row>269</xdr:row>
      <xdr:rowOff>0</xdr:rowOff>
    </xdr:from>
    <xdr:to>
      <xdr:col>10</xdr:col>
      <xdr:colOff>294480</xdr:colOff>
      <xdr:row>293</xdr:row>
      <xdr:rowOff>99720</xdr:rowOff>
    </xdr:to>
    <xdr:graphicFrame>
      <xdr:nvGraphicFramePr>
        <xdr:cNvPr id="24" name="Chart 12"/>
        <xdr:cNvGraphicFramePr/>
      </xdr:nvGraphicFramePr>
      <xdr:xfrm>
        <a:off x="0" y="52006680"/>
        <a:ext cx="10867320" cy="467172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0</xdr:col>
      <xdr:colOff>0</xdr:colOff>
      <xdr:row>244</xdr:row>
      <xdr:rowOff>0</xdr:rowOff>
    </xdr:from>
    <xdr:to>
      <xdr:col>10</xdr:col>
      <xdr:colOff>294480</xdr:colOff>
      <xdr:row>268</xdr:row>
      <xdr:rowOff>99720</xdr:rowOff>
    </xdr:to>
    <xdr:graphicFrame>
      <xdr:nvGraphicFramePr>
        <xdr:cNvPr id="25" name="Chart 13"/>
        <xdr:cNvGraphicFramePr/>
      </xdr:nvGraphicFramePr>
      <xdr:xfrm>
        <a:off x="0" y="47243880"/>
        <a:ext cx="10867320" cy="467172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44</xdr:row>
      <xdr:rowOff>0</xdr:rowOff>
    </xdr:from>
    <xdr:to>
      <xdr:col>10</xdr:col>
      <xdr:colOff>294480</xdr:colOff>
      <xdr:row>68</xdr:row>
      <xdr:rowOff>99720</xdr:rowOff>
    </xdr:to>
    <xdr:graphicFrame>
      <xdr:nvGraphicFramePr>
        <xdr:cNvPr id="26" name="Chart 1"/>
        <xdr:cNvGraphicFramePr/>
      </xdr:nvGraphicFramePr>
      <xdr:xfrm>
        <a:off x="0" y="9144000"/>
        <a:ext cx="10867320" cy="467172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69</xdr:row>
      <xdr:rowOff>0</xdr:rowOff>
    </xdr:from>
    <xdr:to>
      <xdr:col>10</xdr:col>
      <xdr:colOff>294480</xdr:colOff>
      <xdr:row>93</xdr:row>
      <xdr:rowOff>99720</xdr:rowOff>
    </xdr:to>
    <xdr:graphicFrame>
      <xdr:nvGraphicFramePr>
        <xdr:cNvPr id="27" name="Chart 2"/>
        <xdr:cNvGraphicFramePr/>
      </xdr:nvGraphicFramePr>
      <xdr:xfrm>
        <a:off x="0" y="13906440"/>
        <a:ext cx="10867320" cy="467172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94</xdr:row>
      <xdr:rowOff>0</xdr:rowOff>
    </xdr:from>
    <xdr:to>
      <xdr:col>10</xdr:col>
      <xdr:colOff>294480</xdr:colOff>
      <xdr:row>118</xdr:row>
      <xdr:rowOff>99720</xdr:rowOff>
    </xdr:to>
    <xdr:graphicFrame>
      <xdr:nvGraphicFramePr>
        <xdr:cNvPr id="28" name="Chart 3"/>
        <xdr:cNvGraphicFramePr/>
      </xdr:nvGraphicFramePr>
      <xdr:xfrm>
        <a:off x="0" y="18668880"/>
        <a:ext cx="10867320" cy="467172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294</xdr:row>
      <xdr:rowOff>0</xdr:rowOff>
    </xdr:from>
    <xdr:to>
      <xdr:col>10</xdr:col>
      <xdr:colOff>294480</xdr:colOff>
      <xdr:row>318</xdr:row>
      <xdr:rowOff>99720</xdr:rowOff>
    </xdr:to>
    <xdr:graphicFrame>
      <xdr:nvGraphicFramePr>
        <xdr:cNvPr id="29" name="Chart 4"/>
        <xdr:cNvGraphicFramePr/>
      </xdr:nvGraphicFramePr>
      <xdr:xfrm>
        <a:off x="0" y="56769120"/>
        <a:ext cx="10867320" cy="467172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0</xdr:colOff>
      <xdr:row>319</xdr:row>
      <xdr:rowOff>0</xdr:rowOff>
    </xdr:from>
    <xdr:to>
      <xdr:col>10</xdr:col>
      <xdr:colOff>294480</xdr:colOff>
      <xdr:row>343</xdr:row>
      <xdr:rowOff>99720</xdr:rowOff>
    </xdr:to>
    <xdr:graphicFrame>
      <xdr:nvGraphicFramePr>
        <xdr:cNvPr id="30" name="Chart 5"/>
        <xdr:cNvGraphicFramePr/>
      </xdr:nvGraphicFramePr>
      <xdr:xfrm>
        <a:off x="0" y="61531560"/>
        <a:ext cx="10867320" cy="467172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0</xdr:col>
      <xdr:colOff>0</xdr:colOff>
      <xdr:row>119</xdr:row>
      <xdr:rowOff>0</xdr:rowOff>
    </xdr:from>
    <xdr:to>
      <xdr:col>10</xdr:col>
      <xdr:colOff>294480</xdr:colOff>
      <xdr:row>143</xdr:row>
      <xdr:rowOff>99720</xdr:rowOff>
    </xdr:to>
    <xdr:graphicFrame>
      <xdr:nvGraphicFramePr>
        <xdr:cNvPr id="31" name="Chart 6"/>
        <xdr:cNvGraphicFramePr/>
      </xdr:nvGraphicFramePr>
      <xdr:xfrm>
        <a:off x="0" y="23431680"/>
        <a:ext cx="10867320" cy="467172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0</xdr:col>
      <xdr:colOff>0</xdr:colOff>
      <xdr:row>144</xdr:row>
      <xdr:rowOff>0</xdr:rowOff>
    </xdr:from>
    <xdr:to>
      <xdr:col>10</xdr:col>
      <xdr:colOff>294480</xdr:colOff>
      <xdr:row>168</xdr:row>
      <xdr:rowOff>99720</xdr:rowOff>
    </xdr:to>
    <xdr:graphicFrame>
      <xdr:nvGraphicFramePr>
        <xdr:cNvPr id="32" name="Chart 7"/>
        <xdr:cNvGraphicFramePr/>
      </xdr:nvGraphicFramePr>
      <xdr:xfrm>
        <a:off x="0" y="28194120"/>
        <a:ext cx="10867320" cy="467172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344</xdr:row>
      <xdr:rowOff>0</xdr:rowOff>
    </xdr:from>
    <xdr:to>
      <xdr:col>10</xdr:col>
      <xdr:colOff>294480</xdr:colOff>
      <xdr:row>368</xdr:row>
      <xdr:rowOff>99720</xdr:rowOff>
    </xdr:to>
    <xdr:graphicFrame>
      <xdr:nvGraphicFramePr>
        <xdr:cNvPr id="33" name="Chart 8"/>
        <xdr:cNvGraphicFramePr/>
      </xdr:nvGraphicFramePr>
      <xdr:xfrm>
        <a:off x="0" y="66294000"/>
        <a:ext cx="10867320" cy="467172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0</xdr:col>
      <xdr:colOff>0</xdr:colOff>
      <xdr:row>219</xdr:row>
      <xdr:rowOff>0</xdr:rowOff>
    </xdr:from>
    <xdr:to>
      <xdr:col>10</xdr:col>
      <xdr:colOff>294480</xdr:colOff>
      <xdr:row>243</xdr:row>
      <xdr:rowOff>99720</xdr:rowOff>
    </xdr:to>
    <xdr:graphicFrame>
      <xdr:nvGraphicFramePr>
        <xdr:cNvPr id="34" name="Chart 9"/>
        <xdr:cNvGraphicFramePr/>
      </xdr:nvGraphicFramePr>
      <xdr:xfrm>
        <a:off x="0" y="42481440"/>
        <a:ext cx="10867320" cy="467172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0</xdr:col>
      <xdr:colOff>0</xdr:colOff>
      <xdr:row>169</xdr:row>
      <xdr:rowOff>0</xdr:rowOff>
    </xdr:from>
    <xdr:to>
      <xdr:col>10</xdr:col>
      <xdr:colOff>294480</xdr:colOff>
      <xdr:row>193</xdr:row>
      <xdr:rowOff>99720</xdr:rowOff>
    </xdr:to>
    <xdr:graphicFrame>
      <xdr:nvGraphicFramePr>
        <xdr:cNvPr id="35" name="Chart 10"/>
        <xdr:cNvGraphicFramePr/>
      </xdr:nvGraphicFramePr>
      <xdr:xfrm>
        <a:off x="0" y="32956560"/>
        <a:ext cx="10867320" cy="467172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0</xdr:col>
      <xdr:colOff>0</xdr:colOff>
      <xdr:row>194</xdr:row>
      <xdr:rowOff>0</xdr:rowOff>
    </xdr:from>
    <xdr:to>
      <xdr:col>10</xdr:col>
      <xdr:colOff>294480</xdr:colOff>
      <xdr:row>218</xdr:row>
      <xdr:rowOff>99720</xdr:rowOff>
    </xdr:to>
    <xdr:graphicFrame>
      <xdr:nvGraphicFramePr>
        <xdr:cNvPr id="36" name="Chart 11"/>
        <xdr:cNvGraphicFramePr/>
      </xdr:nvGraphicFramePr>
      <xdr:xfrm>
        <a:off x="0" y="37719000"/>
        <a:ext cx="10867320" cy="467172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0</xdr:col>
      <xdr:colOff>0</xdr:colOff>
      <xdr:row>269</xdr:row>
      <xdr:rowOff>0</xdr:rowOff>
    </xdr:from>
    <xdr:to>
      <xdr:col>10</xdr:col>
      <xdr:colOff>294480</xdr:colOff>
      <xdr:row>293</xdr:row>
      <xdr:rowOff>99720</xdr:rowOff>
    </xdr:to>
    <xdr:graphicFrame>
      <xdr:nvGraphicFramePr>
        <xdr:cNvPr id="37" name="Chart 12"/>
        <xdr:cNvGraphicFramePr/>
      </xdr:nvGraphicFramePr>
      <xdr:xfrm>
        <a:off x="0" y="52006680"/>
        <a:ext cx="10867320" cy="467172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0</xdr:col>
      <xdr:colOff>0</xdr:colOff>
      <xdr:row>244</xdr:row>
      <xdr:rowOff>0</xdr:rowOff>
    </xdr:from>
    <xdr:to>
      <xdr:col>10</xdr:col>
      <xdr:colOff>294480</xdr:colOff>
      <xdr:row>268</xdr:row>
      <xdr:rowOff>99720</xdr:rowOff>
    </xdr:to>
    <xdr:graphicFrame>
      <xdr:nvGraphicFramePr>
        <xdr:cNvPr id="38" name="Chart 13"/>
        <xdr:cNvGraphicFramePr/>
      </xdr:nvGraphicFramePr>
      <xdr:xfrm>
        <a:off x="0" y="47243880"/>
        <a:ext cx="10867320" cy="467172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wsDr>
</file>

<file path=xl/drawings/drawing4.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44</xdr:row>
      <xdr:rowOff>0</xdr:rowOff>
    </xdr:from>
    <xdr:to>
      <xdr:col>10</xdr:col>
      <xdr:colOff>294480</xdr:colOff>
      <xdr:row>68</xdr:row>
      <xdr:rowOff>99720</xdr:rowOff>
    </xdr:to>
    <xdr:graphicFrame>
      <xdr:nvGraphicFramePr>
        <xdr:cNvPr id="39" name="Chart 1"/>
        <xdr:cNvGraphicFramePr/>
      </xdr:nvGraphicFramePr>
      <xdr:xfrm>
        <a:off x="0" y="9144000"/>
        <a:ext cx="10867320" cy="467172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69</xdr:row>
      <xdr:rowOff>0</xdr:rowOff>
    </xdr:from>
    <xdr:to>
      <xdr:col>10</xdr:col>
      <xdr:colOff>294480</xdr:colOff>
      <xdr:row>93</xdr:row>
      <xdr:rowOff>99720</xdr:rowOff>
    </xdr:to>
    <xdr:graphicFrame>
      <xdr:nvGraphicFramePr>
        <xdr:cNvPr id="40" name="Chart 2"/>
        <xdr:cNvGraphicFramePr/>
      </xdr:nvGraphicFramePr>
      <xdr:xfrm>
        <a:off x="0" y="13906440"/>
        <a:ext cx="10867320" cy="467172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94</xdr:row>
      <xdr:rowOff>0</xdr:rowOff>
    </xdr:from>
    <xdr:to>
      <xdr:col>10</xdr:col>
      <xdr:colOff>294480</xdr:colOff>
      <xdr:row>118</xdr:row>
      <xdr:rowOff>99720</xdr:rowOff>
    </xdr:to>
    <xdr:graphicFrame>
      <xdr:nvGraphicFramePr>
        <xdr:cNvPr id="41" name="Chart 3"/>
        <xdr:cNvGraphicFramePr/>
      </xdr:nvGraphicFramePr>
      <xdr:xfrm>
        <a:off x="0" y="18668880"/>
        <a:ext cx="10867320" cy="467172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294</xdr:row>
      <xdr:rowOff>0</xdr:rowOff>
    </xdr:from>
    <xdr:to>
      <xdr:col>10</xdr:col>
      <xdr:colOff>294480</xdr:colOff>
      <xdr:row>318</xdr:row>
      <xdr:rowOff>99720</xdr:rowOff>
    </xdr:to>
    <xdr:graphicFrame>
      <xdr:nvGraphicFramePr>
        <xdr:cNvPr id="42" name="Chart 4"/>
        <xdr:cNvGraphicFramePr/>
      </xdr:nvGraphicFramePr>
      <xdr:xfrm>
        <a:off x="0" y="56769120"/>
        <a:ext cx="10867320" cy="467172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0</xdr:colOff>
      <xdr:row>319</xdr:row>
      <xdr:rowOff>0</xdr:rowOff>
    </xdr:from>
    <xdr:to>
      <xdr:col>10</xdr:col>
      <xdr:colOff>294480</xdr:colOff>
      <xdr:row>343</xdr:row>
      <xdr:rowOff>99720</xdr:rowOff>
    </xdr:to>
    <xdr:graphicFrame>
      <xdr:nvGraphicFramePr>
        <xdr:cNvPr id="43" name="Chart 5"/>
        <xdr:cNvGraphicFramePr/>
      </xdr:nvGraphicFramePr>
      <xdr:xfrm>
        <a:off x="0" y="61531560"/>
        <a:ext cx="10867320" cy="467172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0</xdr:col>
      <xdr:colOff>0</xdr:colOff>
      <xdr:row>119</xdr:row>
      <xdr:rowOff>0</xdr:rowOff>
    </xdr:from>
    <xdr:to>
      <xdr:col>10</xdr:col>
      <xdr:colOff>294480</xdr:colOff>
      <xdr:row>143</xdr:row>
      <xdr:rowOff>99720</xdr:rowOff>
    </xdr:to>
    <xdr:graphicFrame>
      <xdr:nvGraphicFramePr>
        <xdr:cNvPr id="44" name="Chart 6"/>
        <xdr:cNvGraphicFramePr/>
      </xdr:nvGraphicFramePr>
      <xdr:xfrm>
        <a:off x="0" y="23431680"/>
        <a:ext cx="10867320" cy="467172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0</xdr:col>
      <xdr:colOff>0</xdr:colOff>
      <xdr:row>144</xdr:row>
      <xdr:rowOff>0</xdr:rowOff>
    </xdr:from>
    <xdr:to>
      <xdr:col>10</xdr:col>
      <xdr:colOff>294480</xdr:colOff>
      <xdr:row>168</xdr:row>
      <xdr:rowOff>99720</xdr:rowOff>
    </xdr:to>
    <xdr:graphicFrame>
      <xdr:nvGraphicFramePr>
        <xdr:cNvPr id="45" name="Chart 7"/>
        <xdr:cNvGraphicFramePr/>
      </xdr:nvGraphicFramePr>
      <xdr:xfrm>
        <a:off x="0" y="28194120"/>
        <a:ext cx="10867320" cy="467172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344</xdr:row>
      <xdr:rowOff>0</xdr:rowOff>
    </xdr:from>
    <xdr:to>
      <xdr:col>10</xdr:col>
      <xdr:colOff>294480</xdr:colOff>
      <xdr:row>368</xdr:row>
      <xdr:rowOff>99720</xdr:rowOff>
    </xdr:to>
    <xdr:graphicFrame>
      <xdr:nvGraphicFramePr>
        <xdr:cNvPr id="46" name="Chart 8"/>
        <xdr:cNvGraphicFramePr/>
      </xdr:nvGraphicFramePr>
      <xdr:xfrm>
        <a:off x="0" y="66294000"/>
        <a:ext cx="10867320" cy="467172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0</xdr:col>
      <xdr:colOff>0</xdr:colOff>
      <xdr:row>219</xdr:row>
      <xdr:rowOff>0</xdr:rowOff>
    </xdr:from>
    <xdr:to>
      <xdr:col>10</xdr:col>
      <xdr:colOff>294480</xdr:colOff>
      <xdr:row>243</xdr:row>
      <xdr:rowOff>99720</xdr:rowOff>
    </xdr:to>
    <xdr:graphicFrame>
      <xdr:nvGraphicFramePr>
        <xdr:cNvPr id="47" name="Chart 9"/>
        <xdr:cNvGraphicFramePr/>
      </xdr:nvGraphicFramePr>
      <xdr:xfrm>
        <a:off x="0" y="42481440"/>
        <a:ext cx="10867320" cy="467172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0</xdr:col>
      <xdr:colOff>0</xdr:colOff>
      <xdr:row>169</xdr:row>
      <xdr:rowOff>0</xdr:rowOff>
    </xdr:from>
    <xdr:to>
      <xdr:col>10</xdr:col>
      <xdr:colOff>294480</xdr:colOff>
      <xdr:row>193</xdr:row>
      <xdr:rowOff>99720</xdr:rowOff>
    </xdr:to>
    <xdr:graphicFrame>
      <xdr:nvGraphicFramePr>
        <xdr:cNvPr id="48" name="Chart 10"/>
        <xdr:cNvGraphicFramePr/>
      </xdr:nvGraphicFramePr>
      <xdr:xfrm>
        <a:off x="0" y="32956560"/>
        <a:ext cx="10867320" cy="467172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0</xdr:col>
      <xdr:colOff>0</xdr:colOff>
      <xdr:row>194</xdr:row>
      <xdr:rowOff>0</xdr:rowOff>
    </xdr:from>
    <xdr:to>
      <xdr:col>10</xdr:col>
      <xdr:colOff>294480</xdr:colOff>
      <xdr:row>218</xdr:row>
      <xdr:rowOff>99720</xdr:rowOff>
    </xdr:to>
    <xdr:graphicFrame>
      <xdr:nvGraphicFramePr>
        <xdr:cNvPr id="49" name="Chart 11"/>
        <xdr:cNvGraphicFramePr/>
      </xdr:nvGraphicFramePr>
      <xdr:xfrm>
        <a:off x="0" y="37719000"/>
        <a:ext cx="10867320" cy="467172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0</xdr:col>
      <xdr:colOff>0</xdr:colOff>
      <xdr:row>269</xdr:row>
      <xdr:rowOff>0</xdr:rowOff>
    </xdr:from>
    <xdr:to>
      <xdr:col>10</xdr:col>
      <xdr:colOff>294480</xdr:colOff>
      <xdr:row>293</xdr:row>
      <xdr:rowOff>99720</xdr:rowOff>
    </xdr:to>
    <xdr:graphicFrame>
      <xdr:nvGraphicFramePr>
        <xdr:cNvPr id="50" name="Chart 12"/>
        <xdr:cNvGraphicFramePr/>
      </xdr:nvGraphicFramePr>
      <xdr:xfrm>
        <a:off x="0" y="52006680"/>
        <a:ext cx="10867320" cy="467172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0</xdr:col>
      <xdr:colOff>0</xdr:colOff>
      <xdr:row>244</xdr:row>
      <xdr:rowOff>0</xdr:rowOff>
    </xdr:from>
    <xdr:to>
      <xdr:col>10</xdr:col>
      <xdr:colOff>294480</xdr:colOff>
      <xdr:row>268</xdr:row>
      <xdr:rowOff>99720</xdr:rowOff>
    </xdr:to>
    <xdr:graphicFrame>
      <xdr:nvGraphicFramePr>
        <xdr:cNvPr id="51" name="Chart 13"/>
        <xdr:cNvGraphicFramePr/>
      </xdr:nvGraphicFramePr>
      <xdr:xfrm>
        <a:off x="0" y="47243880"/>
        <a:ext cx="10867320" cy="467172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wsDr>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0.xml.rels><?xml version="1.0" encoding="UTF-8"?>
<Relationships xmlns="http://schemas.openxmlformats.org/package/2006/relationships"><Relationship Id="rId1" Type="http://schemas.openxmlformats.org/officeDocument/2006/relationships/comments" Target="../comments10.xml"/><Relationship Id="rId2" Type="http://schemas.openxmlformats.org/officeDocument/2006/relationships/drawing" Target="../drawings/drawing4.xml"/><Relationship Id="rId3" Type="http://schemas.openxmlformats.org/officeDocument/2006/relationships/vmlDrawing" Target="../drawings/vmlDrawing8.vml"/>
</Relationships>
</file>

<file path=xl/worksheets/_rels/sheet3.xml.rels><?xml version="1.0" encoding="UTF-8"?>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1.vml"/>
</Relationships>
</file>

<file path=xl/worksheets/_rels/sheet4.xml.rels><?xml version="1.0" encoding="UTF-8"?>
<Relationships xmlns="http://schemas.openxmlformats.org/package/2006/relationships"><Relationship Id="rId1" Type="http://schemas.openxmlformats.org/officeDocument/2006/relationships/comments" Target="../comments4.xml"/><Relationship Id="rId2" Type="http://schemas.openxmlformats.org/officeDocument/2006/relationships/drawing" Target="../drawings/drawing1.xml"/><Relationship Id="rId3" Type="http://schemas.openxmlformats.org/officeDocument/2006/relationships/vmlDrawing" Target="../drawings/vmlDrawing2.vml"/>
</Relationships>
</file>

<file path=xl/worksheets/_rels/sheet5.xml.rels><?xml version="1.0" encoding="UTF-8"?>
<Relationships xmlns="http://schemas.openxmlformats.org/package/2006/relationships"><Relationship Id="rId1" Type="http://schemas.openxmlformats.org/officeDocument/2006/relationships/comments" Target="../comments5.xml"/><Relationship Id="rId2" Type="http://schemas.openxmlformats.org/officeDocument/2006/relationships/vmlDrawing" Target="../drawings/vmlDrawing3.vml"/>
</Relationships>
</file>

<file path=xl/worksheets/_rels/sheet6.xml.rels><?xml version="1.0" encoding="UTF-8"?>
<Relationships xmlns="http://schemas.openxmlformats.org/package/2006/relationships"><Relationship Id="rId1" Type="http://schemas.openxmlformats.org/officeDocument/2006/relationships/comments" Target="../comments6.xml"/><Relationship Id="rId2" Type="http://schemas.openxmlformats.org/officeDocument/2006/relationships/drawing" Target="../drawings/drawing2.xml"/><Relationship Id="rId3" Type="http://schemas.openxmlformats.org/officeDocument/2006/relationships/vmlDrawing" Target="../drawings/vmlDrawing4.vml"/>
</Relationships>
</file>

<file path=xl/worksheets/_rels/sheet7.xml.rels><?xml version="1.0" encoding="UTF-8"?>
<Relationships xmlns="http://schemas.openxmlformats.org/package/2006/relationships"><Relationship Id="rId1" Type="http://schemas.openxmlformats.org/officeDocument/2006/relationships/comments" Target="../comments7.xml"/><Relationship Id="rId2" Type="http://schemas.openxmlformats.org/officeDocument/2006/relationships/vmlDrawing" Target="../drawings/vmlDrawing5.vml"/>
</Relationships>
</file>

<file path=xl/worksheets/_rels/sheet8.xml.rels><?xml version="1.0" encoding="UTF-8"?>
<Relationships xmlns="http://schemas.openxmlformats.org/package/2006/relationships"><Relationship Id="rId1" Type="http://schemas.openxmlformats.org/officeDocument/2006/relationships/comments" Target="../comments8.xml"/><Relationship Id="rId2" Type="http://schemas.openxmlformats.org/officeDocument/2006/relationships/drawing" Target="../drawings/drawing3.xml"/><Relationship Id="rId3" Type="http://schemas.openxmlformats.org/officeDocument/2006/relationships/vmlDrawing" Target="../drawings/vmlDrawing6.vml"/>
</Relationships>
</file>

<file path=xl/worksheets/_rels/sheet9.xml.rels><?xml version="1.0" encoding="UTF-8"?>
<Relationships xmlns="http://schemas.openxmlformats.org/package/2006/relationships"><Relationship Id="rId1" Type="http://schemas.openxmlformats.org/officeDocument/2006/relationships/comments" Target="../comments9.xml"/><Relationship Id="rId2" Type="http://schemas.openxmlformats.org/officeDocument/2006/relationships/vmlDrawing" Target="../drawings/vmlDrawing7.v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306"/>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13"/>
    <col collapsed="false" customWidth="true" hidden="false" outlineLevel="0" max="2" min="2" style="1" width="62"/>
    <col collapsed="false" customWidth="true" hidden="false" outlineLevel="0" max="3" min="3" style="1" width="22"/>
    <col collapsed="false" customWidth="true" hidden="false" outlineLevel="0" max="4" min="4" style="1" width="26"/>
    <col collapsed="false" customWidth="true" hidden="false" outlineLevel="0" max="5" min="5" style="1" width="58"/>
    <col collapsed="false" customWidth="true" hidden="false" outlineLevel="0" max="6" min="6" style="1" width="14"/>
    <col collapsed="false" customWidth="true" hidden="false" outlineLevel="0" max="7" min="7" style="1" width="12"/>
  </cols>
  <sheetData>
    <row r="1" customFormat="false" ht="15" hidden="false" customHeight="true" outlineLevel="0" collapsed="false">
      <c r="A1" s="2" t="s">
        <v>0</v>
      </c>
      <c r="B1" s="2" t="s">
        <v>1</v>
      </c>
      <c r="C1" s="2" t="s">
        <v>2</v>
      </c>
      <c r="D1" s="2" t="s">
        <v>3</v>
      </c>
      <c r="E1" s="2" t="s">
        <v>4</v>
      </c>
      <c r="F1" s="2" t="s">
        <v>5</v>
      </c>
      <c r="G1" s="2" t="s">
        <v>6</v>
      </c>
    </row>
    <row r="2" customFormat="false" ht="15" hidden="false" customHeight="true" outlineLevel="0" collapsed="false">
      <c r="A2" s="3" t="s">
        <v>7</v>
      </c>
      <c r="B2" s="3" t="s">
        <v>8</v>
      </c>
      <c r="C2" s="3" t="s">
        <v>9</v>
      </c>
      <c r="D2" s="3" t="s">
        <v>10</v>
      </c>
      <c r="E2" s="3" t="s">
        <v>11</v>
      </c>
      <c r="F2" s="3" t="s">
        <v>12</v>
      </c>
      <c r="G2" s="3" t="s">
        <v>13</v>
      </c>
    </row>
    <row r="3" customFormat="false" ht="15" hidden="false" customHeight="true" outlineLevel="0" collapsed="false">
      <c r="A3" s="3" t="s">
        <v>7</v>
      </c>
      <c r="B3" s="3" t="s">
        <v>14</v>
      </c>
      <c r="C3" s="3" t="s">
        <v>9</v>
      </c>
      <c r="D3" s="3" t="s">
        <v>10</v>
      </c>
      <c r="E3" s="3" t="s">
        <v>15</v>
      </c>
      <c r="F3" s="3" t="s">
        <v>12</v>
      </c>
      <c r="G3" s="3" t="s">
        <v>13</v>
      </c>
    </row>
    <row r="4" customFormat="false" ht="15" hidden="false" customHeight="true" outlineLevel="0" collapsed="false">
      <c r="A4" s="3" t="s">
        <v>7</v>
      </c>
      <c r="B4" s="3" t="s">
        <v>16</v>
      </c>
      <c r="C4" s="3" t="s">
        <v>9</v>
      </c>
      <c r="D4" s="3" t="s">
        <v>10</v>
      </c>
      <c r="E4" s="3" t="s">
        <v>17</v>
      </c>
      <c r="F4" s="3" t="s">
        <v>12</v>
      </c>
      <c r="G4" s="3" t="s">
        <v>13</v>
      </c>
    </row>
    <row r="5" customFormat="false" ht="15" hidden="false" customHeight="true" outlineLevel="0" collapsed="false">
      <c r="A5" s="3" t="s">
        <v>7</v>
      </c>
      <c r="B5" s="3" t="s">
        <v>18</v>
      </c>
      <c r="C5" s="3" t="s">
        <v>9</v>
      </c>
      <c r="D5" s="3" t="s">
        <v>10</v>
      </c>
      <c r="E5" s="3" t="s">
        <v>19</v>
      </c>
      <c r="F5" s="3" t="s">
        <v>12</v>
      </c>
      <c r="G5" s="3" t="s">
        <v>13</v>
      </c>
    </row>
    <row r="6" customFormat="false" ht="15" hidden="false" customHeight="true" outlineLevel="0" collapsed="false">
      <c r="A6" s="3" t="s">
        <v>7</v>
      </c>
      <c r="B6" s="3" t="s">
        <v>20</v>
      </c>
      <c r="C6" s="3" t="s">
        <v>9</v>
      </c>
      <c r="D6" s="3" t="s">
        <v>10</v>
      </c>
      <c r="E6" s="3" t="s">
        <v>21</v>
      </c>
      <c r="F6" s="3" t="s">
        <v>12</v>
      </c>
      <c r="G6" s="3" t="s">
        <v>13</v>
      </c>
    </row>
    <row r="7" customFormat="false" ht="15" hidden="false" customHeight="true" outlineLevel="0" collapsed="false">
      <c r="A7" s="3" t="s">
        <v>7</v>
      </c>
      <c r="B7" s="3" t="s">
        <v>22</v>
      </c>
      <c r="C7" s="3" t="s">
        <v>9</v>
      </c>
      <c r="D7" s="3" t="s">
        <v>10</v>
      </c>
      <c r="E7" s="3" t="s">
        <v>23</v>
      </c>
      <c r="F7" s="3" t="s">
        <v>12</v>
      </c>
      <c r="G7" s="3" t="s">
        <v>13</v>
      </c>
    </row>
    <row r="8" customFormat="false" ht="15" hidden="false" customHeight="true" outlineLevel="0" collapsed="false">
      <c r="A8" s="3" t="s">
        <v>7</v>
      </c>
      <c r="B8" s="3" t="s">
        <v>24</v>
      </c>
      <c r="C8" s="3" t="s">
        <v>9</v>
      </c>
      <c r="D8" s="3" t="s">
        <v>10</v>
      </c>
      <c r="E8" s="3" t="s">
        <v>25</v>
      </c>
      <c r="F8" s="3" t="s">
        <v>12</v>
      </c>
      <c r="G8" s="3" t="s">
        <v>13</v>
      </c>
    </row>
    <row r="9" customFormat="false" ht="15" hidden="false" customHeight="true" outlineLevel="0" collapsed="false">
      <c r="A9" s="3" t="s">
        <v>7</v>
      </c>
      <c r="B9" s="3" t="s">
        <v>26</v>
      </c>
      <c r="C9" s="3" t="s">
        <v>9</v>
      </c>
      <c r="D9" s="3" t="s">
        <v>10</v>
      </c>
      <c r="E9" s="3" t="s">
        <v>27</v>
      </c>
      <c r="F9" s="3" t="s">
        <v>12</v>
      </c>
      <c r="G9" s="3" t="s">
        <v>13</v>
      </c>
    </row>
    <row r="10" customFormat="false" ht="15" hidden="false" customHeight="true" outlineLevel="0" collapsed="false">
      <c r="A10" s="3" t="s">
        <v>7</v>
      </c>
      <c r="B10" s="3" t="s">
        <v>28</v>
      </c>
      <c r="C10" s="3" t="s">
        <v>9</v>
      </c>
      <c r="D10" s="3" t="s">
        <v>10</v>
      </c>
      <c r="E10" s="3" t="s">
        <v>29</v>
      </c>
      <c r="F10" s="3" t="s">
        <v>12</v>
      </c>
      <c r="G10" s="3" t="s">
        <v>13</v>
      </c>
    </row>
    <row r="11" customFormat="false" ht="15" hidden="false" customHeight="true" outlineLevel="0" collapsed="false">
      <c r="A11" s="3" t="s">
        <v>7</v>
      </c>
      <c r="B11" s="3" t="s">
        <v>30</v>
      </c>
      <c r="C11" s="3" t="s">
        <v>9</v>
      </c>
      <c r="D11" s="3" t="s">
        <v>10</v>
      </c>
      <c r="E11" s="3" t="s">
        <v>31</v>
      </c>
      <c r="F11" s="3" t="s">
        <v>12</v>
      </c>
      <c r="G11" s="3" t="s">
        <v>13</v>
      </c>
    </row>
    <row r="12" customFormat="false" ht="15" hidden="false" customHeight="true" outlineLevel="0" collapsed="false">
      <c r="A12" s="3" t="s">
        <v>7</v>
      </c>
      <c r="B12" s="3" t="s">
        <v>32</v>
      </c>
      <c r="C12" s="3" t="s">
        <v>9</v>
      </c>
      <c r="D12" s="3" t="s">
        <v>10</v>
      </c>
      <c r="E12" s="3" t="s">
        <v>33</v>
      </c>
      <c r="F12" s="3" t="s">
        <v>12</v>
      </c>
      <c r="G12" s="3" t="s">
        <v>13</v>
      </c>
    </row>
    <row r="13" customFormat="false" ht="15" hidden="false" customHeight="true" outlineLevel="0" collapsed="false">
      <c r="A13" s="3" t="s">
        <v>7</v>
      </c>
      <c r="B13" s="3" t="s">
        <v>8</v>
      </c>
      <c r="C13" s="3" t="s">
        <v>9</v>
      </c>
      <c r="D13" s="3" t="s">
        <v>10</v>
      </c>
      <c r="E13" s="3" t="s">
        <v>34</v>
      </c>
      <c r="F13" s="3" t="s">
        <v>12</v>
      </c>
      <c r="G13" s="3" t="s">
        <v>13</v>
      </c>
    </row>
    <row r="14" customFormat="false" ht="15" hidden="false" customHeight="true" outlineLevel="0" collapsed="false">
      <c r="A14" s="3" t="s">
        <v>7</v>
      </c>
      <c r="B14" s="3" t="s">
        <v>14</v>
      </c>
      <c r="C14" s="3" t="s">
        <v>9</v>
      </c>
      <c r="D14" s="3" t="s">
        <v>10</v>
      </c>
      <c r="E14" s="3" t="s">
        <v>35</v>
      </c>
      <c r="F14" s="3" t="s">
        <v>12</v>
      </c>
      <c r="G14" s="3" t="s">
        <v>13</v>
      </c>
    </row>
    <row r="15" customFormat="false" ht="15" hidden="false" customHeight="true" outlineLevel="0" collapsed="false">
      <c r="A15" s="3" t="s">
        <v>7</v>
      </c>
      <c r="B15" s="3" t="s">
        <v>16</v>
      </c>
      <c r="C15" s="3" t="s">
        <v>9</v>
      </c>
      <c r="D15" s="3" t="s">
        <v>10</v>
      </c>
      <c r="E15" s="3" t="s">
        <v>36</v>
      </c>
      <c r="F15" s="3" t="s">
        <v>12</v>
      </c>
      <c r="G15" s="3" t="s">
        <v>13</v>
      </c>
    </row>
    <row r="16" customFormat="false" ht="15" hidden="false" customHeight="true" outlineLevel="0" collapsed="false">
      <c r="A16" s="3" t="s">
        <v>7</v>
      </c>
      <c r="B16" s="3" t="s">
        <v>18</v>
      </c>
      <c r="C16" s="3" t="s">
        <v>9</v>
      </c>
      <c r="D16" s="3" t="s">
        <v>10</v>
      </c>
      <c r="E16" s="3" t="s">
        <v>37</v>
      </c>
      <c r="F16" s="3" t="s">
        <v>12</v>
      </c>
      <c r="G16" s="3" t="s">
        <v>13</v>
      </c>
    </row>
    <row r="17" customFormat="false" ht="15" hidden="false" customHeight="true" outlineLevel="0" collapsed="false">
      <c r="A17" s="3" t="s">
        <v>7</v>
      </c>
      <c r="B17" s="3" t="s">
        <v>20</v>
      </c>
      <c r="C17" s="3" t="s">
        <v>9</v>
      </c>
      <c r="D17" s="3" t="s">
        <v>10</v>
      </c>
      <c r="E17" s="3" t="s">
        <v>38</v>
      </c>
      <c r="F17" s="3" t="s">
        <v>12</v>
      </c>
      <c r="G17" s="3" t="s">
        <v>13</v>
      </c>
    </row>
    <row r="18" customFormat="false" ht="15" hidden="false" customHeight="true" outlineLevel="0" collapsed="false">
      <c r="A18" s="3" t="s">
        <v>7</v>
      </c>
      <c r="B18" s="3" t="s">
        <v>22</v>
      </c>
      <c r="C18" s="3" t="s">
        <v>9</v>
      </c>
      <c r="D18" s="3" t="s">
        <v>10</v>
      </c>
      <c r="E18" s="3" t="s">
        <v>39</v>
      </c>
      <c r="F18" s="3" t="s">
        <v>12</v>
      </c>
      <c r="G18" s="3" t="s">
        <v>13</v>
      </c>
    </row>
    <row r="19" customFormat="false" ht="15" hidden="false" customHeight="true" outlineLevel="0" collapsed="false">
      <c r="A19" s="3" t="s">
        <v>7</v>
      </c>
      <c r="B19" s="3" t="s">
        <v>24</v>
      </c>
      <c r="C19" s="3" t="s">
        <v>9</v>
      </c>
      <c r="D19" s="3" t="s">
        <v>10</v>
      </c>
      <c r="E19" s="3" t="s">
        <v>40</v>
      </c>
      <c r="F19" s="3" t="s">
        <v>12</v>
      </c>
      <c r="G19" s="3" t="s">
        <v>13</v>
      </c>
    </row>
    <row r="20" customFormat="false" ht="15" hidden="false" customHeight="true" outlineLevel="0" collapsed="false">
      <c r="A20" s="3" t="s">
        <v>7</v>
      </c>
      <c r="B20" s="3" t="s">
        <v>26</v>
      </c>
      <c r="C20" s="3" t="s">
        <v>9</v>
      </c>
      <c r="D20" s="3" t="s">
        <v>10</v>
      </c>
      <c r="E20" s="3" t="s">
        <v>41</v>
      </c>
      <c r="F20" s="3" t="s">
        <v>12</v>
      </c>
      <c r="G20" s="3" t="s">
        <v>13</v>
      </c>
    </row>
    <row r="21" customFormat="false" ht="15" hidden="false" customHeight="true" outlineLevel="0" collapsed="false">
      <c r="A21" s="3" t="s">
        <v>7</v>
      </c>
      <c r="B21" s="3" t="s">
        <v>28</v>
      </c>
      <c r="C21" s="3" t="s">
        <v>9</v>
      </c>
      <c r="D21" s="3" t="s">
        <v>10</v>
      </c>
      <c r="E21" s="3" t="s">
        <v>42</v>
      </c>
      <c r="F21" s="3" t="s">
        <v>12</v>
      </c>
      <c r="G21" s="3" t="s">
        <v>13</v>
      </c>
    </row>
    <row r="22" customFormat="false" ht="15" hidden="false" customHeight="true" outlineLevel="0" collapsed="false">
      <c r="A22" s="3" t="s">
        <v>7</v>
      </c>
      <c r="B22" s="3" t="s">
        <v>30</v>
      </c>
      <c r="C22" s="3" t="s">
        <v>9</v>
      </c>
      <c r="D22" s="3" t="s">
        <v>10</v>
      </c>
      <c r="E22" s="3" t="s">
        <v>43</v>
      </c>
      <c r="F22" s="3" t="s">
        <v>12</v>
      </c>
      <c r="G22" s="3" t="s">
        <v>13</v>
      </c>
    </row>
    <row r="23" customFormat="false" ht="15" hidden="false" customHeight="true" outlineLevel="0" collapsed="false">
      <c r="A23" s="3" t="s">
        <v>7</v>
      </c>
      <c r="B23" s="3" t="s">
        <v>32</v>
      </c>
      <c r="C23" s="3" t="s">
        <v>9</v>
      </c>
      <c r="D23" s="3" t="s">
        <v>10</v>
      </c>
      <c r="E23" s="3" t="s">
        <v>44</v>
      </c>
      <c r="F23" s="3" t="s">
        <v>12</v>
      </c>
      <c r="G23" s="3" t="s">
        <v>13</v>
      </c>
    </row>
    <row r="24" customFormat="false" ht="15" hidden="false" customHeight="true" outlineLevel="0" collapsed="false">
      <c r="A24" s="3" t="s">
        <v>7</v>
      </c>
      <c r="B24" s="3" t="s">
        <v>8</v>
      </c>
      <c r="C24" s="3" t="s">
        <v>9</v>
      </c>
      <c r="D24" s="3" t="s">
        <v>10</v>
      </c>
      <c r="E24" s="3" t="s">
        <v>45</v>
      </c>
      <c r="F24" s="3" t="s">
        <v>12</v>
      </c>
      <c r="G24" s="3" t="s">
        <v>13</v>
      </c>
    </row>
    <row r="25" customFormat="false" ht="15" hidden="false" customHeight="true" outlineLevel="0" collapsed="false">
      <c r="A25" s="3" t="s">
        <v>7</v>
      </c>
      <c r="B25" s="3" t="s">
        <v>14</v>
      </c>
      <c r="C25" s="3" t="s">
        <v>9</v>
      </c>
      <c r="D25" s="3" t="s">
        <v>10</v>
      </c>
      <c r="E25" s="3" t="s">
        <v>46</v>
      </c>
      <c r="F25" s="3" t="s">
        <v>12</v>
      </c>
      <c r="G25" s="3" t="s">
        <v>13</v>
      </c>
    </row>
    <row r="26" customFormat="false" ht="15" hidden="false" customHeight="true" outlineLevel="0" collapsed="false">
      <c r="A26" s="3" t="s">
        <v>7</v>
      </c>
      <c r="B26" s="3" t="s">
        <v>16</v>
      </c>
      <c r="C26" s="3" t="s">
        <v>9</v>
      </c>
      <c r="D26" s="3" t="s">
        <v>10</v>
      </c>
      <c r="E26" s="3" t="s">
        <v>47</v>
      </c>
      <c r="F26" s="3" t="s">
        <v>12</v>
      </c>
      <c r="G26" s="3" t="s">
        <v>13</v>
      </c>
    </row>
    <row r="27" customFormat="false" ht="15" hidden="false" customHeight="true" outlineLevel="0" collapsed="false">
      <c r="A27" s="3" t="s">
        <v>7</v>
      </c>
      <c r="B27" s="3" t="s">
        <v>18</v>
      </c>
      <c r="C27" s="3" t="s">
        <v>9</v>
      </c>
      <c r="D27" s="3" t="s">
        <v>10</v>
      </c>
      <c r="E27" s="3" t="s">
        <v>48</v>
      </c>
      <c r="F27" s="3" t="s">
        <v>12</v>
      </c>
      <c r="G27" s="3" t="s">
        <v>13</v>
      </c>
    </row>
    <row r="28" customFormat="false" ht="15" hidden="false" customHeight="true" outlineLevel="0" collapsed="false">
      <c r="A28" s="3" t="s">
        <v>7</v>
      </c>
      <c r="B28" s="3" t="s">
        <v>20</v>
      </c>
      <c r="C28" s="3" t="s">
        <v>9</v>
      </c>
      <c r="D28" s="3" t="s">
        <v>10</v>
      </c>
      <c r="E28" s="3" t="s">
        <v>49</v>
      </c>
      <c r="F28" s="3" t="s">
        <v>12</v>
      </c>
      <c r="G28" s="3" t="s">
        <v>13</v>
      </c>
    </row>
    <row r="29" customFormat="false" ht="15" hidden="false" customHeight="true" outlineLevel="0" collapsed="false">
      <c r="A29" s="3" t="s">
        <v>7</v>
      </c>
      <c r="B29" s="3" t="s">
        <v>22</v>
      </c>
      <c r="C29" s="3" t="s">
        <v>9</v>
      </c>
      <c r="D29" s="3" t="s">
        <v>10</v>
      </c>
      <c r="E29" s="3" t="s">
        <v>50</v>
      </c>
      <c r="F29" s="3" t="s">
        <v>12</v>
      </c>
      <c r="G29" s="3" t="s">
        <v>13</v>
      </c>
    </row>
    <row r="30" customFormat="false" ht="15" hidden="false" customHeight="true" outlineLevel="0" collapsed="false">
      <c r="A30" s="3" t="s">
        <v>7</v>
      </c>
      <c r="B30" s="3" t="s">
        <v>24</v>
      </c>
      <c r="C30" s="3" t="s">
        <v>9</v>
      </c>
      <c r="D30" s="3" t="s">
        <v>10</v>
      </c>
      <c r="E30" s="3" t="s">
        <v>51</v>
      </c>
      <c r="F30" s="3" t="s">
        <v>12</v>
      </c>
      <c r="G30" s="3" t="s">
        <v>13</v>
      </c>
    </row>
    <row r="31" customFormat="false" ht="15" hidden="false" customHeight="true" outlineLevel="0" collapsed="false">
      <c r="A31" s="3" t="s">
        <v>7</v>
      </c>
      <c r="B31" s="3" t="s">
        <v>26</v>
      </c>
      <c r="C31" s="3" t="s">
        <v>9</v>
      </c>
      <c r="D31" s="3" t="s">
        <v>10</v>
      </c>
      <c r="E31" s="3" t="s">
        <v>52</v>
      </c>
      <c r="F31" s="3" t="s">
        <v>12</v>
      </c>
      <c r="G31" s="3" t="s">
        <v>13</v>
      </c>
    </row>
    <row r="32" customFormat="false" ht="15" hidden="false" customHeight="true" outlineLevel="0" collapsed="false">
      <c r="A32" s="3" t="s">
        <v>7</v>
      </c>
      <c r="B32" s="3" t="s">
        <v>28</v>
      </c>
      <c r="C32" s="3" t="s">
        <v>9</v>
      </c>
      <c r="D32" s="3" t="s">
        <v>10</v>
      </c>
      <c r="E32" s="3" t="s">
        <v>53</v>
      </c>
      <c r="F32" s="3" t="s">
        <v>12</v>
      </c>
      <c r="G32" s="3" t="s">
        <v>13</v>
      </c>
    </row>
    <row r="33" customFormat="false" ht="15" hidden="false" customHeight="true" outlineLevel="0" collapsed="false">
      <c r="A33" s="3" t="s">
        <v>7</v>
      </c>
      <c r="B33" s="3" t="s">
        <v>30</v>
      </c>
      <c r="C33" s="3" t="s">
        <v>9</v>
      </c>
      <c r="D33" s="3" t="s">
        <v>10</v>
      </c>
      <c r="E33" s="3" t="s">
        <v>54</v>
      </c>
      <c r="F33" s="3" t="s">
        <v>12</v>
      </c>
      <c r="G33" s="3" t="s">
        <v>13</v>
      </c>
    </row>
    <row r="34" customFormat="false" ht="15" hidden="false" customHeight="true" outlineLevel="0" collapsed="false">
      <c r="A34" s="3" t="s">
        <v>7</v>
      </c>
      <c r="B34" s="3" t="s">
        <v>32</v>
      </c>
      <c r="C34" s="3" t="s">
        <v>9</v>
      </c>
      <c r="D34" s="3" t="s">
        <v>10</v>
      </c>
      <c r="E34" s="3" t="s">
        <v>55</v>
      </c>
      <c r="F34" s="3" t="s">
        <v>12</v>
      </c>
      <c r="G34" s="3" t="s">
        <v>13</v>
      </c>
    </row>
    <row r="35" customFormat="false" ht="15" hidden="false" customHeight="true" outlineLevel="0" collapsed="false">
      <c r="A35" s="3" t="s">
        <v>7</v>
      </c>
      <c r="B35" s="3" t="s">
        <v>8</v>
      </c>
      <c r="C35" s="3" t="s">
        <v>9</v>
      </c>
      <c r="D35" s="3" t="s">
        <v>10</v>
      </c>
      <c r="E35" s="3" t="s">
        <v>56</v>
      </c>
      <c r="F35" s="3" t="s">
        <v>12</v>
      </c>
      <c r="G35" s="3" t="s">
        <v>13</v>
      </c>
    </row>
    <row r="36" customFormat="false" ht="15" hidden="false" customHeight="true" outlineLevel="0" collapsed="false">
      <c r="A36" s="3" t="s">
        <v>7</v>
      </c>
      <c r="B36" s="3" t="s">
        <v>14</v>
      </c>
      <c r="C36" s="3" t="s">
        <v>9</v>
      </c>
      <c r="D36" s="3" t="s">
        <v>10</v>
      </c>
      <c r="E36" s="3" t="s">
        <v>57</v>
      </c>
      <c r="F36" s="3" t="s">
        <v>12</v>
      </c>
      <c r="G36" s="3" t="s">
        <v>13</v>
      </c>
    </row>
    <row r="37" customFormat="false" ht="15" hidden="false" customHeight="true" outlineLevel="0" collapsed="false">
      <c r="A37" s="3" t="s">
        <v>7</v>
      </c>
      <c r="B37" s="3" t="s">
        <v>16</v>
      </c>
      <c r="C37" s="3" t="s">
        <v>9</v>
      </c>
      <c r="D37" s="3" t="s">
        <v>10</v>
      </c>
      <c r="E37" s="3" t="s">
        <v>58</v>
      </c>
      <c r="F37" s="3" t="s">
        <v>12</v>
      </c>
      <c r="G37" s="3" t="s">
        <v>13</v>
      </c>
    </row>
    <row r="38" customFormat="false" ht="15" hidden="false" customHeight="true" outlineLevel="0" collapsed="false">
      <c r="A38" s="3" t="s">
        <v>7</v>
      </c>
      <c r="B38" s="3" t="s">
        <v>18</v>
      </c>
      <c r="C38" s="3" t="s">
        <v>9</v>
      </c>
      <c r="D38" s="3" t="s">
        <v>10</v>
      </c>
      <c r="E38" s="3" t="s">
        <v>59</v>
      </c>
      <c r="F38" s="3" t="s">
        <v>12</v>
      </c>
      <c r="G38" s="3" t="s">
        <v>13</v>
      </c>
    </row>
    <row r="39" customFormat="false" ht="15" hidden="false" customHeight="true" outlineLevel="0" collapsed="false">
      <c r="A39" s="3" t="s">
        <v>7</v>
      </c>
      <c r="B39" s="3" t="s">
        <v>20</v>
      </c>
      <c r="C39" s="3" t="s">
        <v>9</v>
      </c>
      <c r="D39" s="3" t="s">
        <v>10</v>
      </c>
      <c r="E39" s="3" t="s">
        <v>60</v>
      </c>
      <c r="F39" s="3" t="s">
        <v>12</v>
      </c>
      <c r="G39" s="3" t="s">
        <v>13</v>
      </c>
    </row>
    <row r="40" customFormat="false" ht="15" hidden="false" customHeight="true" outlineLevel="0" collapsed="false">
      <c r="A40" s="3" t="s">
        <v>7</v>
      </c>
      <c r="B40" s="3" t="s">
        <v>22</v>
      </c>
      <c r="C40" s="3" t="s">
        <v>9</v>
      </c>
      <c r="D40" s="3" t="s">
        <v>10</v>
      </c>
      <c r="E40" s="3" t="s">
        <v>61</v>
      </c>
      <c r="F40" s="3" t="s">
        <v>12</v>
      </c>
      <c r="G40" s="3" t="s">
        <v>13</v>
      </c>
    </row>
    <row r="41" customFormat="false" ht="15" hidden="false" customHeight="true" outlineLevel="0" collapsed="false">
      <c r="A41" s="3" t="s">
        <v>7</v>
      </c>
      <c r="B41" s="3" t="s">
        <v>24</v>
      </c>
      <c r="C41" s="3" t="s">
        <v>9</v>
      </c>
      <c r="D41" s="3" t="s">
        <v>10</v>
      </c>
      <c r="E41" s="3" t="s">
        <v>62</v>
      </c>
      <c r="F41" s="3" t="s">
        <v>12</v>
      </c>
      <c r="G41" s="3" t="s">
        <v>13</v>
      </c>
    </row>
    <row r="42" customFormat="false" ht="15" hidden="false" customHeight="true" outlineLevel="0" collapsed="false">
      <c r="A42" s="3" t="s">
        <v>7</v>
      </c>
      <c r="B42" s="3" t="s">
        <v>26</v>
      </c>
      <c r="C42" s="3" t="s">
        <v>9</v>
      </c>
      <c r="D42" s="3" t="s">
        <v>10</v>
      </c>
      <c r="E42" s="3" t="s">
        <v>63</v>
      </c>
      <c r="F42" s="3" t="s">
        <v>12</v>
      </c>
      <c r="G42" s="3" t="s">
        <v>13</v>
      </c>
    </row>
    <row r="43" customFormat="false" ht="15" hidden="false" customHeight="true" outlineLevel="0" collapsed="false">
      <c r="A43" s="3" t="s">
        <v>7</v>
      </c>
      <c r="B43" s="3" t="s">
        <v>28</v>
      </c>
      <c r="C43" s="3" t="s">
        <v>9</v>
      </c>
      <c r="D43" s="3" t="s">
        <v>10</v>
      </c>
      <c r="E43" s="3" t="s">
        <v>64</v>
      </c>
      <c r="F43" s="3" t="s">
        <v>12</v>
      </c>
      <c r="G43" s="3" t="s">
        <v>13</v>
      </c>
    </row>
    <row r="44" customFormat="false" ht="15" hidden="false" customHeight="true" outlineLevel="0" collapsed="false">
      <c r="A44" s="3" t="s">
        <v>7</v>
      </c>
      <c r="B44" s="3" t="s">
        <v>30</v>
      </c>
      <c r="C44" s="3" t="s">
        <v>9</v>
      </c>
      <c r="D44" s="3" t="s">
        <v>10</v>
      </c>
      <c r="E44" s="3" t="s">
        <v>65</v>
      </c>
      <c r="F44" s="3" t="s">
        <v>12</v>
      </c>
      <c r="G44" s="3" t="s">
        <v>13</v>
      </c>
    </row>
    <row r="45" customFormat="false" ht="15" hidden="false" customHeight="true" outlineLevel="0" collapsed="false">
      <c r="A45" s="3" t="s">
        <v>7</v>
      </c>
      <c r="B45" s="3" t="s">
        <v>66</v>
      </c>
      <c r="C45" s="3" t="s">
        <v>9</v>
      </c>
      <c r="D45" s="3" t="s">
        <v>10</v>
      </c>
      <c r="E45" s="3" t="s">
        <v>67</v>
      </c>
      <c r="F45" s="3" t="s">
        <v>12</v>
      </c>
      <c r="G45" s="3" t="s">
        <v>13</v>
      </c>
    </row>
    <row r="46" customFormat="false" ht="15" hidden="false" customHeight="true" outlineLevel="0" collapsed="false">
      <c r="A46" s="3" t="s">
        <v>7</v>
      </c>
      <c r="B46" s="3" t="s">
        <v>8</v>
      </c>
      <c r="C46" s="3" t="s">
        <v>9</v>
      </c>
      <c r="D46" s="3" t="s">
        <v>10</v>
      </c>
      <c r="E46" s="3" t="s">
        <v>68</v>
      </c>
      <c r="F46" s="3" t="s">
        <v>12</v>
      </c>
      <c r="G46" s="3" t="s">
        <v>13</v>
      </c>
    </row>
    <row r="47" customFormat="false" ht="15" hidden="false" customHeight="true" outlineLevel="0" collapsed="false">
      <c r="A47" s="3" t="s">
        <v>7</v>
      </c>
      <c r="B47" s="3" t="s">
        <v>14</v>
      </c>
      <c r="C47" s="3" t="s">
        <v>9</v>
      </c>
      <c r="D47" s="3" t="s">
        <v>10</v>
      </c>
      <c r="E47" s="3" t="s">
        <v>69</v>
      </c>
      <c r="F47" s="3" t="s">
        <v>12</v>
      </c>
      <c r="G47" s="3" t="s">
        <v>13</v>
      </c>
    </row>
    <row r="48" customFormat="false" ht="15" hidden="false" customHeight="true" outlineLevel="0" collapsed="false">
      <c r="A48" s="3" t="s">
        <v>7</v>
      </c>
      <c r="B48" s="3" t="s">
        <v>16</v>
      </c>
      <c r="C48" s="3" t="s">
        <v>9</v>
      </c>
      <c r="D48" s="3" t="s">
        <v>10</v>
      </c>
      <c r="E48" s="3" t="s">
        <v>70</v>
      </c>
      <c r="F48" s="3" t="s">
        <v>12</v>
      </c>
      <c r="G48" s="3" t="s">
        <v>13</v>
      </c>
    </row>
    <row r="49" customFormat="false" ht="15" hidden="false" customHeight="true" outlineLevel="0" collapsed="false">
      <c r="A49" s="3" t="s">
        <v>7</v>
      </c>
      <c r="B49" s="3" t="s">
        <v>18</v>
      </c>
      <c r="C49" s="3" t="s">
        <v>9</v>
      </c>
      <c r="D49" s="3" t="s">
        <v>10</v>
      </c>
      <c r="E49" s="3" t="s">
        <v>71</v>
      </c>
      <c r="F49" s="3" t="s">
        <v>12</v>
      </c>
      <c r="G49" s="3" t="s">
        <v>13</v>
      </c>
    </row>
    <row r="50" customFormat="false" ht="15" hidden="false" customHeight="true" outlineLevel="0" collapsed="false">
      <c r="A50" s="3" t="s">
        <v>7</v>
      </c>
      <c r="B50" s="3" t="s">
        <v>20</v>
      </c>
      <c r="C50" s="3" t="s">
        <v>9</v>
      </c>
      <c r="D50" s="3" t="s">
        <v>10</v>
      </c>
      <c r="E50" s="3" t="s">
        <v>72</v>
      </c>
      <c r="F50" s="3" t="s">
        <v>12</v>
      </c>
      <c r="G50" s="3" t="s">
        <v>13</v>
      </c>
    </row>
    <row r="51" customFormat="false" ht="15" hidden="false" customHeight="true" outlineLevel="0" collapsed="false">
      <c r="A51" s="3" t="s">
        <v>7</v>
      </c>
      <c r="B51" s="3" t="s">
        <v>22</v>
      </c>
      <c r="C51" s="3" t="s">
        <v>9</v>
      </c>
      <c r="D51" s="3" t="s">
        <v>10</v>
      </c>
      <c r="E51" s="3" t="s">
        <v>73</v>
      </c>
      <c r="F51" s="3" t="s">
        <v>12</v>
      </c>
      <c r="G51" s="3" t="s">
        <v>13</v>
      </c>
    </row>
    <row r="52" customFormat="false" ht="15" hidden="false" customHeight="true" outlineLevel="0" collapsed="false">
      <c r="A52" s="3" t="s">
        <v>7</v>
      </c>
      <c r="B52" s="3" t="s">
        <v>24</v>
      </c>
      <c r="C52" s="3" t="s">
        <v>9</v>
      </c>
      <c r="D52" s="3" t="s">
        <v>10</v>
      </c>
      <c r="E52" s="3" t="s">
        <v>74</v>
      </c>
      <c r="F52" s="3" t="s">
        <v>12</v>
      </c>
      <c r="G52" s="3" t="s">
        <v>13</v>
      </c>
    </row>
    <row r="53" customFormat="false" ht="15" hidden="false" customHeight="true" outlineLevel="0" collapsed="false">
      <c r="A53" s="3" t="s">
        <v>7</v>
      </c>
      <c r="B53" s="3" t="s">
        <v>26</v>
      </c>
      <c r="C53" s="3" t="s">
        <v>9</v>
      </c>
      <c r="D53" s="3" t="s">
        <v>10</v>
      </c>
      <c r="E53" s="3" t="s">
        <v>75</v>
      </c>
      <c r="F53" s="3" t="s">
        <v>12</v>
      </c>
      <c r="G53" s="3" t="s">
        <v>13</v>
      </c>
    </row>
    <row r="54" customFormat="false" ht="15" hidden="false" customHeight="true" outlineLevel="0" collapsed="false">
      <c r="A54" s="3" t="s">
        <v>7</v>
      </c>
      <c r="B54" s="3" t="s">
        <v>28</v>
      </c>
      <c r="C54" s="3" t="s">
        <v>9</v>
      </c>
      <c r="D54" s="3" t="s">
        <v>10</v>
      </c>
      <c r="E54" s="3" t="s">
        <v>76</v>
      </c>
      <c r="F54" s="3" t="s">
        <v>12</v>
      </c>
      <c r="G54" s="3" t="s">
        <v>13</v>
      </c>
    </row>
    <row r="55" customFormat="false" ht="15" hidden="false" customHeight="true" outlineLevel="0" collapsed="false">
      <c r="A55" s="3" t="s">
        <v>7</v>
      </c>
      <c r="B55" s="3" t="s">
        <v>30</v>
      </c>
      <c r="C55" s="3" t="s">
        <v>9</v>
      </c>
      <c r="D55" s="3" t="s">
        <v>10</v>
      </c>
      <c r="E55" s="3" t="s">
        <v>77</v>
      </c>
      <c r="F55" s="3" t="s">
        <v>12</v>
      </c>
      <c r="G55" s="3" t="s">
        <v>13</v>
      </c>
    </row>
    <row r="56" customFormat="false" ht="15" hidden="false" customHeight="true" outlineLevel="0" collapsed="false">
      <c r="A56" s="3" t="s">
        <v>7</v>
      </c>
      <c r="B56" s="3" t="s">
        <v>66</v>
      </c>
      <c r="C56" s="3" t="s">
        <v>9</v>
      </c>
      <c r="D56" s="3" t="s">
        <v>10</v>
      </c>
      <c r="E56" s="3" t="s">
        <v>78</v>
      </c>
      <c r="F56" s="3" t="s">
        <v>12</v>
      </c>
      <c r="G56" s="3" t="s">
        <v>13</v>
      </c>
    </row>
    <row r="57" customFormat="false" ht="15" hidden="false" customHeight="true" outlineLevel="0" collapsed="false">
      <c r="A57" s="3" t="s">
        <v>7</v>
      </c>
      <c r="B57" s="3" t="s">
        <v>8</v>
      </c>
      <c r="C57" s="3" t="s">
        <v>9</v>
      </c>
      <c r="D57" s="3" t="s">
        <v>10</v>
      </c>
      <c r="E57" s="3" t="s">
        <v>79</v>
      </c>
      <c r="F57" s="3" t="s">
        <v>12</v>
      </c>
      <c r="G57" s="3" t="s">
        <v>13</v>
      </c>
    </row>
    <row r="58" customFormat="false" ht="15" hidden="false" customHeight="true" outlineLevel="0" collapsed="false">
      <c r="A58" s="3" t="s">
        <v>7</v>
      </c>
      <c r="B58" s="3" t="s">
        <v>14</v>
      </c>
      <c r="C58" s="3" t="s">
        <v>9</v>
      </c>
      <c r="D58" s="3" t="s">
        <v>10</v>
      </c>
      <c r="E58" s="3" t="s">
        <v>80</v>
      </c>
      <c r="F58" s="3" t="s">
        <v>12</v>
      </c>
      <c r="G58" s="3" t="s">
        <v>13</v>
      </c>
    </row>
    <row r="59" customFormat="false" ht="15" hidden="false" customHeight="true" outlineLevel="0" collapsed="false">
      <c r="A59" s="3" t="s">
        <v>7</v>
      </c>
      <c r="B59" s="3" t="s">
        <v>16</v>
      </c>
      <c r="C59" s="3" t="s">
        <v>9</v>
      </c>
      <c r="D59" s="3" t="s">
        <v>10</v>
      </c>
      <c r="E59" s="3" t="s">
        <v>81</v>
      </c>
      <c r="F59" s="3" t="s">
        <v>12</v>
      </c>
      <c r="G59" s="3" t="s">
        <v>13</v>
      </c>
    </row>
    <row r="60" customFormat="false" ht="15" hidden="false" customHeight="true" outlineLevel="0" collapsed="false">
      <c r="A60" s="3" t="s">
        <v>7</v>
      </c>
      <c r="B60" s="3" t="s">
        <v>18</v>
      </c>
      <c r="C60" s="3" t="s">
        <v>9</v>
      </c>
      <c r="D60" s="3" t="s">
        <v>10</v>
      </c>
      <c r="E60" s="3" t="s">
        <v>82</v>
      </c>
      <c r="F60" s="3" t="s">
        <v>12</v>
      </c>
      <c r="G60" s="3" t="s">
        <v>13</v>
      </c>
    </row>
    <row r="61" customFormat="false" ht="15" hidden="false" customHeight="true" outlineLevel="0" collapsed="false">
      <c r="A61" s="3" t="s">
        <v>7</v>
      </c>
      <c r="B61" s="3" t="s">
        <v>20</v>
      </c>
      <c r="C61" s="3" t="s">
        <v>9</v>
      </c>
      <c r="D61" s="3" t="s">
        <v>10</v>
      </c>
      <c r="E61" s="3" t="s">
        <v>83</v>
      </c>
      <c r="F61" s="3" t="s">
        <v>12</v>
      </c>
      <c r="G61" s="3" t="s">
        <v>13</v>
      </c>
    </row>
    <row r="62" customFormat="false" ht="15" hidden="false" customHeight="true" outlineLevel="0" collapsed="false">
      <c r="A62" s="3" t="s">
        <v>7</v>
      </c>
      <c r="B62" s="3" t="s">
        <v>22</v>
      </c>
      <c r="C62" s="3" t="s">
        <v>9</v>
      </c>
      <c r="D62" s="3" t="s">
        <v>10</v>
      </c>
      <c r="E62" s="3" t="s">
        <v>84</v>
      </c>
      <c r="F62" s="3" t="s">
        <v>12</v>
      </c>
      <c r="G62" s="3" t="s">
        <v>13</v>
      </c>
    </row>
    <row r="63" customFormat="false" ht="15" hidden="false" customHeight="true" outlineLevel="0" collapsed="false">
      <c r="A63" s="3" t="s">
        <v>7</v>
      </c>
      <c r="B63" s="3" t="s">
        <v>24</v>
      </c>
      <c r="C63" s="3" t="s">
        <v>9</v>
      </c>
      <c r="D63" s="3" t="s">
        <v>10</v>
      </c>
      <c r="E63" s="3" t="s">
        <v>85</v>
      </c>
      <c r="F63" s="3" t="s">
        <v>12</v>
      </c>
      <c r="G63" s="3" t="s">
        <v>13</v>
      </c>
    </row>
    <row r="64" customFormat="false" ht="15" hidden="false" customHeight="true" outlineLevel="0" collapsed="false">
      <c r="A64" s="3" t="s">
        <v>7</v>
      </c>
      <c r="B64" s="3" t="s">
        <v>26</v>
      </c>
      <c r="C64" s="3" t="s">
        <v>9</v>
      </c>
      <c r="D64" s="3" t="s">
        <v>10</v>
      </c>
      <c r="E64" s="3" t="s">
        <v>86</v>
      </c>
      <c r="F64" s="3" t="s">
        <v>12</v>
      </c>
      <c r="G64" s="3" t="s">
        <v>13</v>
      </c>
    </row>
    <row r="65" customFormat="false" ht="15" hidden="false" customHeight="true" outlineLevel="0" collapsed="false">
      <c r="A65" s="3" t="s">
        <v>7</v>
      </c>
      <c r="B65" s="3" t="s">
        <v>28</v>
      </c>
      <c r="C65" s="3" t="s">
        <v>9</v>
      </c>
      <c r="D65" s="3" t="s">
        <v>10</v>
      </c>
      <c r="E65" s="3" t="s">
        <v>87</v>
      </c>
      <c r="F65" s="3" t="s">
        <v>12</v>
      </c>
      <c r="G65" s="3" t="s">
        <v>13</v>
      </c>
    </row>
    <row r="66" customFormat="false" ht="15" hidden="false" customHeight="true" outlineLevel="0" collapsed="false">
      <c r="A66" s="3" t="s">
        <v>7</v>
      </c>
      <c r="B66" s="3" t="s">
        <v>30</v>
      </c>
      <c r="C66" s="3" t="s">
        <v>9</v>
      </c>
      <c r="D66" s="3" t="s">
        <v>10</v>
      </c>
      <c r="E66" s="3" t="s">
        <v>88</v>
      </c>
      <c r="F66" s="3" t="s">
        <v>12</v>
      </c>
      <c r="G66" s="3" t="s">
        <v>13</v>
      </c>
    </row>
    <row r="67" customFormat="false" ht="15" hidden="false" customHeight="true" outlineLevel="0" collapsed="false">
      <c r="A67" s="3" t="s">
        <v>7</v>
      </c>
      <c r="B67" s="3" t="s">
        <v>66</v>
      </c>
      <c r="C67" s="3" t="s">
        <v>9</v>
      </c>
      <c r="D67" s="3" t="s">
        <v>10</v>
      </c>
      <c r="E67" s="3" t="s">
        <v>89</v>
      </c>
      <c r="F67" s="3" t="s">
        <v>12</v>
      </c>
      <c r="G67" s="3" t="s">
        <v>13</v>
      </c>
    </row>
    <row r="68" customFormat="false" ht="15" hidden="false" customHeight="true" outlineLevel="0" collapsed="false">
      <c r="A68" s="3" t="s">
        <v>7</v>
      </c>
      <c r="B68" s="3" t="s">
        <v>8</v>
      </c>
      <c r="C68" s="3" t="s">
        <v>9</v>
      </c>
      <c r="D68" s="3" t="s">
        <v>10</v>
      </c>
      <c r="E68" s="3" t="s">
        <v>90</v>
      </c>
      <c r="F68" s="3" t="s">
        <v>12</v>
      </c>
      <c r="G68" s="3" t="s">
        <v>13</v>
      </c>
    </row>
    <row r="69" customFormat="false" ht="15" hidden="false" customHeight="true" outlineLevel="0" collapsed="false">
      <c r="A69" s="3" t="s">
        <v>7</v>
      </c>
      <c r="B69" s="3" t="s">
        <v>14</v>
      </c>
      <c r="C69" s="3" t="s">
        <v>9</v>
      </c>
      <c r="D69" s="3" t="s">
        <v>10</v>
      </c>
      <c r="E69" s="3" t="s">
        <v>91</v>
      </c>
      <c r="F69" s="3" t="s">
        <v>12</v>
      </c>
      <c r="G69" s="3" t="s">
        <v>13</v>
      </c>
    </row>
    <row r="70" customFormat="false" ht="15" hidden="false" customHeight="true" outlineLevel="0" collapsed="false">
      <c r="A70" s="3" t="s">
        <v>7</v>
      </c>
      <c r="B70" s="3" t="s">
        <v>16</v>
      </c>
      <c r="C70" s="3" t="s">
        <v>9</v>
      </c>
      <c r="D70" s="3" t="s">
        <v>10</v>
      </c>
      <c r="E70" s="3" t="s">
        <v>92</v>
      </c>
      <c r="F70" s="3" t="s">
        <v>12</v>
      </c>
      <c r="G70" s="3" t="s">
        <v>13</v>
      </c>
    </row>
    <row r="71" customFormat="false" ht="15" hidden="false" customHeight="true" outlineLevel="0" collapsed="false">
      <c r="A71" s="3" t="s">
        <v>7</v>
      </c>
      <c r="B71" s="3" t="s">
        <v>18</v>
      </c>
      <c r="C71" s="3" t="s">
        <v>9</v>
      </c>
      <c r="D71" s="3" t="s">
        <v>10</v>
      </c>
      <c r="E71" s="3" t="s">
        <v>93</v>
      </c>
      <c r="F71" s="3" t="s">
        <v>12</v>
      </c>
      <c r="G71" s="3" t="s">
        <v>13</v>
      </c>
    </row>
    <row r="72" customFormat="false" ht="15" hidden="false" customHeight="true" outlineLevel="0" collapsed="false">
      <c r="A72" s="3" t="s">
        <v>7</v>
      </c>
      <c r="B72" s="3" t="s">
        <v>20</v>
      </c>
      <c r="C72" s="3" t="s">
        <v>9</v>
      </c>
      <c r="D72" s="3" t="s">
        <v>10</v>
      </c>
      <c r="E72" s="3" t="s">
        <v>94</v>
      </c>
      <c r="F72" s="3" t="s">
        <v>12</v>
      </c>
      <c r="G72" s="3" t="s">
        <v>13</v>
      </c>
    </row>
    <row r="73" customFormat="false" ht="15" hidden="false" customHeight="true" outlineLevel="0" collapsed="false">
      <c r="A73" s="3" t="s">
        <v>7</v>
      </c>
      <c r="B73" s="3" t="s">
        <v>22</v>
      </c>
      <c r="C73" s="3" t="s">
        <v>9</v>
      </c>
      <c r="D73" s="3" t="s">
        <v>10</v>
      </c>
      <c r="E73" s="3" t="s">
        <v>95</v>
      </c>
      <c r="F73" s="3" t="s">
        <v>12</v>
      </c>
      <c r="G73" s="3" t="s">
        <v>13</v>
      </c>
    </row>
    <row r="74" customFormat="false" ht="15" hidden="false" customHeight="true" outlineLevel="0" collapsed="false">
      <c r="A74" s="3" t="s">
        <v>7</v>
      </c>
      <c r="B74" s="3" t="s">
        <v>24</v>
      </c>
      <c r="C74" s="3" t="s">
        <v>9</v>
      </c>
      <c r="D74" s="3" t="s">
        <v>10</v>
      </c>
      <c r="E74" s="3" t="s">
        <v>96</v>
      </c>
      <c r="F74" s="3" t="s">
        <v>12</v>
      </c>
      <c r="G74" s="3" t="s">
        <v>13</v>
      </c>
    </row>
    <row r="75" customFormat="false" ht="15" hidden="false" customHeight="true" outlineLevel="0" collapsed="false">
      <c r="A75" s="3" t="s">
        <v>7</v>
      </c>
      <c r="B75" s="3" t="s">
        <v>26</v>
      </c>
      <c r="C75" s="3" t="s">
        <v>9</v>
      </c>
      <c r="D75" s="3" t="s">
        <v>10</v>
      </c>
      <c r="E75" s="3" t="s">
        <v>97</v>
      </c>
      <c r="F75" s="3" t="s">
        <v>12</v>
      </c>
      <c r="G75" s="3" t="s">
        <v>13</v>
      </c>
    </row>
    <row r="76" customFormat="false" ht="15" hidden="false" customHeight="true" outlineLevel="0" collapsed="false">
      <c r="A76" s="3" t="s">
        <v>7</v>
      </c>
      <c r="B76" s="3" t="s">
        <v>28</v>
      </c>
      <c r="C76" s="3" t="s">
        <v>9</v>
      </c>
      <c r="D76" s="3" t="s">
        <v>10</v>
      </c>
      <c r="E76" s="3" t="s">
        <v>98</v>
      </c>
      <c r="F76" s="3" t="s">
        <v>12</v>
      </c>
      <c r="G76" s="3" t="s">
        <v>13</v>
      </c>
    </row>
    <row r="77" customFormat="false" ht="15" hidden="false" customHeight="true" outlineLevel="0" collapsed="false">
      <c r="A77" s="3" t="s">
        <v>7</v>
      </c>
      <c r="B77" s="3" t="s">
        <v>30</v>
      </c>
      <c r="C77" s="3" t="s">
        <v>9</v>
      </c>
      <c r="D77" s="3" t="s">
        <v>10</v>
      </c>
      <c r="E77" s="3" t="s">
        <v>99</v>
      </c>
      <c r="F77" s="3" t="s">
        <v>12</v>
      </c>
      <c r="G77" s="3" t="s">
        <v>13</v>
      </c>
    </row>
    <row r="78" customFormat="false" ht="15" hidden="false" customHeight="true" outlineLevel="0" collapsed="false">
      <c r="A78" s="3" t="s">
        <v>7</v>
      </c>
      <c r="B78" s="3" t="s">
        <v>66</v>
      </c>
      <c r="C78" s="3" t="s">
        <v>9</v>
      </c>
      <c r="D78" s="3" t="s">
        <v>10</v>
      </c>
      <c r="E78" s="3" t="s">
        <v>100</v>
      </c>
      <c r="F78" s="3" t="s">
        <v>12</v>
      </c>
      <c r="G78" s="3" t="s">
        <v>13</v>
      </c>
    </row>
    <row r="79" customFormat="false" ht="15" hidden="false" customHeight="true" outlineLevel="0" collapsed="false">
      <c r="A79" s="3" t="s">
        <v>7</v>
      </c>
      <c r="B79" s="3" t="s">
        <v>8</v>
      </c>
      <c r="C79" s="3" t="s">
        <v>9</v>
      </c>
      <c r="D79" s="3" t="s">
        <v>10</v>
      </c>
      <c r="E79" s="3" t="s">
        <v>101</v>
      </c>
      <c r="F79" s="3" t="s">
        <v>12</v>
      </c>
      <c r="G79" s="3" t="s">
        <v>13</v>
      </c>
    </row>
    <row r="80" customFormat="false" ht="15" hidden="false" customHeight="true" outlineLevel="0" collapsed="false">
      <c r="A80" s="3" t="s">
        <v>7</v>
      </c>
      <c r="B80" s="3" t="s">
        <v>14</v>
      </c>
      <c r="C80" s="3" t="s">
        <v>9</v>
      </c>
      <c r="D80" s="3" t="s">
        <v>10</v>
      </c>
      <c r="E80" s="3" t="s">
        <v>91</v>
      </c>
      <c r="F80" s="3" t="s">
        <v>12</v>
      </c>
      <c r="G80" s="3" t="s">
        <v>13</v>
      </c>
    </row>
    <row r="81" customFormat="false" ht="15" hidden="false" customHeight="true" outlineLevel="0" collapsed="false">
      <c r="A81" s="3" t="s">
        <v>7</v>
      </c>
      <c r="B81" s="3" t="s">
        <v>16</v>
      </c>
      <c r="C81" s="3" t="s">
        <v>9</v>
      </c>
      <c r="D81" s="3" t="s">
        <v>10</v>
      </c>
      <c r="E81" s="3" t="s">
        <v>102</v>
      </c>
      <c r="F81" s="3" t="s">
        <v>12</v>
      </c>
      <c r="G81" s="3" t="s">
        <v>13</v>
      </c>
    </row>
    <row r="82" customFormat="false" ht="15" hidden="false" customHeight="true" outlineLevel="0" collapsed="false">
      <c r="A82" s="3" t="s">
        <v>7</v>
      </c>
      <c r="B82" s="3" t="s">
        <v>18</v>
      </c>
      <c r="C82" s="3" t="s">
        <v>9</v>
      </c>
      <c r="D82" s="3" t="s">
        <v>10</v>
      </c>
      <c r="E82" s="3" t="s">
        <v>103</v>
      </c>
      <c r="F82" s="3" t="s">
        <v>12</v>
      </c>
      <c r="G82" s="3" t="s">
        <v>13</v>
      </c>
    </row>
    <row r="83" customFormat="false" ht="15" hidden="false" customHeight="true" outlineLevel="0" collapsed="false">
      <c r="A83" s="3" t="s">
        <v>7</v>
      </c>
      <c r="B83" s="3" t="s">
        <v>20</v>
      </c>
      <c r="C83" s="3" t="s">
        <v>9</v>
      </c>
      <c r="D83" s="3" t="s">
        <v>10</v>
      </c>
      <c r="E83" s="3" t="s">
        <v>104</v>
      </c>
      <c r="F83" s="3" t="s">
        <v>12</v>
      </c>
      <c r="G83" s="3" t="s">
        <v>13</v>
      </c>
    </row>
    <row r="84" customFormat="false" ht="15" hidden="false" customHeight="true" outlineLevel="0" collapsed="false">
      <c r="A84" s="3" t="s">
        <v>7</v>
      </c>
      <c r="B84" s="3" t="s">
        <v>22</v>
      </c>
      <c r="C84" s="3" t="s">
        <v>9</v>
      </c>
      <c r="D84" s="3" t="s">
        <v>10</v>
      </c>
      <c r="E84" s="3" t="s">
        <v>105</v>
      </c>
      <c r="F84" s="3" t="s">
        <v>12</v>
      </c>
      <c r="G84" s="3" t="s">
        <v>13</v>
      </c>
    </row>
    <row r="85" customFormat="false" ht="15" hidden="false" customHeight="true" outlineLevel="0" collapsed="false">
      <c r="A85" s="3" t="s">
        <v>7</v>
      </c>
      <c r="B85" s="3" t="s">
        <v>24</v>
      </c>
      <c r="C85" s="3" t="s">
        <v>9</v>
      </c>
      <c r="D85" s="3" t="s">
        <v>10</v>
      </c>
      <c r="E85" s="3" t="s">
        <v>106</v>
      </c>
      <c r="F85" s="3" t="s">
        <v>12</v>
      </c>
      <c r="G85" s="3" t="s">
        <v>13</v>
      </c>
    </row>
    <row r="86" customFormat="false" ht="15" hidden="false" customHeight="true" outlineLevel="0" collapsed="false">
      <c r="A86" s="3" t="s">
        <v>7</v>
      </c>
      <c r="B86" s="3" t="s">
        <v>26</v>
      </c>
      <c r="C86" s="3" t="s">
        <v>9</v>
      </c>
      <c r="D86" s="3" t="s">
        <v>10</v>
      </c>
      <c r="E86" s="3" t="s">
        <v>97</v>
      </c>
      <c r="F86" s="3" t="s">
        <v>12</v>
      </c>
      <c r="G86" s="3" t="s">
        <v>13</v>
      </c>
    </row>
    <row r="87" customFormat="false" ht="15" hidden="false" customHeight="true" outlineLevel="0" collapsed="false">
      <c r="A87" s="3" t="s">
        <v>7</v>
      </c>
      <c r="B87" s="3" t="s">
        <v>28</v>
      </c>
      <c r="C87" s="3" t="s">
        <v>9</v>
      </c>
      <c r="D87" s="3" t="s">
        <v>10</v>
      </c>
      <c r="E87" s="3" t="s">
        <v>107</v>
      </c>
      <c r="F87" s="3" t="s">
        <v>12</v>
      </c>
      <c r="G87" s="3" t="s">
        <v>13</v>
      </c>
    </row>
    <row r="88" customFormat="false" ht="15" hidden="false" customHeight="true" outlineLevel="0" collapsed="false">
      <c r="A88" s="3" t="s">
        <v>7</v>
      </c>
      <c r="B88" s="3" t="s">
        <v>30</v>
      </c>
      <c r="C88" s="3" t="s">
        <v>9</v>
      </c>
      <c r="D88" s="3" t="s">
        <v>10</v>
      </c>
      <c r="E88" s="3" t="s">
        <v>108</v>
      </c>
      <c r="F88" s="3" t="s">
        <v>12</v>
      </c>
      <c r="G88" s="3" t="s">
        <v>13</v>
      </c>
    </row>
    <row r="89" customFormat="false" ht="15" hidden="false" customHeight="true" outlineLevel="0" collapsed="false">
      <c r="A89" s="3" t="s">
        <v>7</v>
      </c>
      <c r="B89" s="3" t="s">
        <v>66</v>
      </c>
      <c r="C89" s="3" t="s">
        <v>9</v>
      </c>
      <c r="D89" s="3" t="s">
        <v>10</v>
      </c>
      <c r="E89" s="3" t="s">
        <v>109</v>
      </c>
      <c r="F89" s="3" t="s">
        <v>12</v>
      </c>
      <c r="G89" s="3" t="s">
        <v>13</v>
      </c>
    </row>
    <row r="90" customFormat="false" ht="15" hidden="false" customHeight="true" outlineLevel="0" collapsed="false">
      <c r="A90" s="3" t="s">
        <v>7</v>
      </c>
      <c r="B90" s="3" t="s">
        <v>8</v>
      </c>
      <c r="C90" s="3" t="s">
        <v>9</v>
      </c>
      <c r="D90" s="3" t="s">
        <v>10</v>
      </c>
      <c r="E90" s="3" t="s">
        <v>110</v>
      </c>
      <c r="F90" s="3" t="s">
        <v>12</v>
      </c>
      <c r="G90" s="3" t="s">
        <v>13</v>
      </c>
    </row>
    <row r="91" customFormat="false" ht="15" hidden="false" customHeight="true" outlineLevel="0" collapsed="false">
      <c r="A91" s="3" t="s">
        <v>7</v>
      </c>
      <c r="B91" s="3" t="s">
        <v>14</v>
      </c>
      <c r="C91" s="3" t="s">
        <v>9</v>
      </c>
      <c r="D91" s="3" t="s">
        <v>10</v>
      </c>
      <c r="E91" s="3" t="s">
        <v>91</v>
      </c>
      <c r="F91" s="3" t="s">
        <v>12</v>
      </c>
      <c r="G91" s="3" t="s">
        <v>13</v>
      </c>
    </row>
    <row r="92" customFormat="false" ht="15" hidden="false" customHeight="true" outlineLevel="0" collapsed="false">
      <c r="A92" s="3" t="s">
        <v>7</v>
      </c>
      <c r="B92" s="3" t="s">
        <v>16</v>
      </c>
      <c r="C92" s="3" t="s">
        <v>9</v>
      </c>
      <c r="D92" s="3" t="s">
        <v>10</v>
      </c>
      <c r="E92" s="3" t="s">
        <v>111</v>
      </c>
      <c r="F92" s="3" t="s">
        <v>12</v>
      </c>
      <c r="G92" s="3" t="s">
        <v>13</v>
      </c>
    </row>
    <row r="93" customFormat="false" ht="15" hidden="false" customHeight="true" outlineLevel="0" collapsed="false">
      <c r="A93" s="3" t="s">
        <v>7</v>
      </c>
      <c r="B93" s="3" t="s">
        <v>18</v>
      </c>
      <c r="C93" s="3" t="s">
        <v>9</v>
      </c>
      <c r="D93" s="3" t="s">
        <v>10</v>
      </c>
      <c r="E93" s="3" t="s">
        <v>112</v>
      </c>
      <c r="F93" s="3" t="s">
        <v>12</v>
      </c>
      <c r="G93" s="3" t="s">
        <v>13</v>
      </c>
    </row>
    <row r="94" customFormat="false" ht="15" hidden="false" customHeight="true" outlineLevel="0" collapsed="false">
      <c r="A94" s="3" t="s">
        <v>7</v>
      </c>
      <c r="B94" s="3" t="s">
        <v>20</v>
      </c>
      <c r="C94" s="3" t="s">
        <v>9</v>
      </c>
      <c r="D94" s="3" t="s">
        <v>10</v>
      </c>
      <c r="E94" s="3" t="s">
        <v>113</v>
      </c>
      <c r="F94" s="3" t="s">
        <v>12</v>
      </c>
      <c r="G94" s="3" t="s">
        <v>13</v>
      </c>
    </row>
    <row r="95" customFormat="false" ht="15" hidden="false" customHeight="true" outlineLevel="0" collapsed="false">
      <c r="A95" s="3" t="s">
        <v>7</v>
      </c>
      <c r="B95" s="3" t="s">
        <v>22</v>
      </c>
      <c r="C95" s="3" t="s">
        <v>9</v>
      </c>
      <c r="D95" s="3" t="s">
        <v>10</v>
      </c>
      <c r="E95" s="3" t="s">
        <v>114</v>
      </c>
      <c r="F95" s="3" t="s">
        <v>12</v>
      </c>
      <c r="G95" s="3" t="s">
        <v>13</v>
      </c>
    </row>
    <row r="96" customFormat="false" ht="15" hidden="false" customHeight="true" outlineLevel="0" collapsed="false">
      <c r="A96" s="3" t="s">
        <v>7</v>
      </c>
      <c r="B96" s="3" t="s">
        <v>24</v>
      </c>
      <c r="C96" s="3" t="s">
        <v>9</v>
      </c>
      <c r="D96" s="3" t="s">
        <v>10</v>
      </c>
      <c r="E96" s="3" t="s">
        <v>115</v>
      </c>
      <c r="F96" s="3" t="s">
        <v>12</v>
      </c>
      <c r="G96" s="3" t="s">
        <v>13</v>
      </c>
    </row>
    <row r="97" customFormat="false" ht="15" hidden="false" customHeight="true" outlineLevel="0" collapsed="false">
      <c r="A97" s="3" t="s">
        <v>7</v>
      </c>
      <c r="B97" s="3" t="s">
        <v>26</v>
      </c>
      <c r="C97" s="3" t="s">
        <v>9</v>
      </c>
      <c r="D97" s="3" t="s">
        <v>10</v>
      </c>
      <c r="E97" s="3" t="s">
        <v>97</v>
      </c>
      <c r="F97" s="3" t="s">
        <v>12</v>
      </c>
      <c r="G97" s="3" t="s">
        <v>13</v>
      </c>
    </row>
    <row r="98" customFormat="false" ht="15" hidden="false" customHeight="true" outlineLevel="0" collapsed="false">
      <c r="A98" s="3" t="s">
        <v>7</v>
      </c>
      <c r="B98" s="3" t="s">
        <v>28</v>
      </c>
      <c r="C98" s="3" t="s">
        <v>9</v>
      </c>
      <c r="D98" s="3" t="s">
        <v>10</v>
      </c>
      <c r="E98" s="3" t="s">
        <v>116</v>
      </c>
      <c r="F98" s="3" t="s">
        <v>12</v>
      </c>
      <c r="G98" s="3" t="s">
        <v>13</v>
      </c>
    </row>
    <row r="99" customFormat="false" ht="15" hidden="false" customHeight="true" outlineLevel="0" collapsed="false">
      <c r="A99" s="3" t="s">
        <v>7</v>
      </c>
      <c r="B99" s="3" t="s">
        <v>30</v>
      </c>
      <c r="C99" s="3" t="s">
        <v>9</v>
      </c>
      <c r="D99" s="3" t="s">
        <v>10</v>
      </c>
      <c r="E99" s="3" t="s">
        <v>117</v>
      </c>
      <c r="F99" s="3" t="s">
        <v>12</v>
      </c>
      <c r="G99" s="3" t="s">
        <v>13</v>
      </c>
    </row>
    <row r="100" customFormat="false" ht="15" hidden="false" customHeight="true" outlineLevel="0" collapsed="false">
      <c r="A100" s="3" t="s">
        <v>7</v>
      </c>
      <c r="B100" s="3" t="s">
        <v>66</v>
      </c>
      <c r="C100" s="3" t="s">
        <v>9</v>
      </c>
      <c r="D100" s="3" t="s">
        <v>10</v>
      </c>
      <c r="E100" s="3" t="s">
        <v>118</v>
      </c>
      <c r="F100" s="3" t="s">
        <v>12</v>
      </c>
      <c r="G100" s="3" t="s">
        <v>13</v>
      </c>
    </row>
    <row r="101" customFormat="false" ht="15" hidden="false" customHeight="true" outlineLevel="0" collapsed="false">
      <c r="A101" s="3" t="s">
        <v>7</v>
      </c>
      <c r="B101" s="3" t="s">
        <v>8</v>
      </c>
      <c r="C101" s="3" t="s">
        <v>9</v>
      </c>
      <c r="D101" s="3" t="s">
        <v>10</v>
      </c>
      <c r="E101" s="3" t="s">
        <v>119</v>
      </c>
      <c r="F101" s="3" t="s">
        <v>12</v>
      </c>
      <c r="G101" s="3" t="s">
        <v>13</v>
      </c>
    </row>
    <row r="102" customFormat="false" ht="15" hidden="false" customHeight="true" outlineLevel="0" collapsed="false">
      <c r="A102" s="3" t="s">
        <v>7</v>
      </c>
      <c r="B102" s="3" t="s">
        <v>14</v>
      </c>
      <c r="C102" s="3" t="s">
        <v>9</v>
      </c>
      <c r="D102" s="3" t="s">
        <v>10</v>
      </c>
      <c r="E102" s="3" t="s">
        <v>120</v>
      </c>
      <c r="F102" s="3" t="s">
        <v>12</v>
      </c>
      <c r="G102" s="3" t="s">
        <v>13</v>
      </c>
    </row>
    <row r="103" customFormat="false" ht="15" hidden="false" customHeight="true" outlineLevel="0" collapsed="false">
      <c r="A103" s="3" t="s">
        <v>7</v>
      </c>
      <c r="B103" s="3" t="s">
        <v>16</v>
      </c>
      <c r="C103" s="3" t="s">
        <v>9</v>
      </c>
      <c r="D103" s="3" t="s">
        <v>10</v>
      </c>
      <c r="E103" s="3" t="s">
        <v>121</v>
      </c>
      <c r="F103" s="3" t="s">
        <v>12</v>
      </c>
      <c r="G103" s="3" t="s">
        <v>13</v>
      </c>
    </row>
    <row r="104" customFormat="false" ht="15" hidden="false" customHeight="true" outlineLevel="0" collapsed="false">
      <c r="A104" s="3" t="s">
        <v>7</v>
      </c>
      <c r="B104" s="3" t="s">
        <v>18</v>
      </c>
      <c r="C104" s="3" t="s">
        <v>9</v>
      </c>
      <c r="D104" s="3" t="s">
        <v>10</v>
      </c>
      <c r="E104" s="3" t="s">
        <v>122</v>
      </c>
      <c r="F104" s="3" t="s">
        <v>12</v>
      </c>
      <c r="G104" s="3" t="s">
        <v>13</v>
      </c>
    </row>
    <row r="105" customFormat="false" ht="15" hidden="false" customHeight="true" outlineLevel="0" collapsed="false">
      <c r="A105" s="3" t="s">
        <v>7</v>
      </c>
      <c r="B105" s="3" t="s">
        <v>20</v>
      </c>
      <c r="C105" s="3" t="s">
        <v>9</v>
      </c>
      <c r="D105" s="3" t="s">
        <v>10</v>
      </c>
      <c r="E105" s="3" t="s">
        <v>123</v>
      </c>
      <c r="F105" s="3" t="s">
        <v>12</v>
      </c>
      <c r="G105" s="3" t="s">
        <v>13</v>
      </c>
    </row>
    <row r="106" customFormat="false" ht="15" hidden="false" customHeight="true" outlineLevel="0" collapsed="false">
      <c r="A106" s="3" t="s">
        <v>7</v>
      </c>
      <c r="B106" s="3" t="s">
        <v>22</v>
      </c>
      <c r="C106" s="3" t="s">
        <v>9</v>
      </c>
      <c r="D106" s="3" t="s">
        <v>10</v>
      </c>
      <c r="E106" s="3" t="s">
        <v>124</v>
      </c>
      <c r="F106" s="3" t="s">
        <v>12</v>
      </c>
      <c r="G106" s="3" t="s">
        <v>13</v>
      </c>
    </row>
    <row r="107" customFormat="false" ht="15" hidden="false" customHeight="true" outlineLevel="0" collapsed="false">
      <c r="A107" s="3" t="s">
        <v>7</v>
      </c>
      <c r="B107" s="3" t="s">
        <v>24</v>
      </c>
      <c r="C107" s="3" t="s">
        <v>9</v>
      </c>
      <c r="D107" s="3" t="s">
        <v>10</v>
      </c>
      <c r="E107" s="3" t="s">
        <v>125</v>
      </c>
      <c r="F107" s="3" t="s">
        <v>12</v>
      </c>
      <c r="G107" s="3" t="s">
        <v>13</v>
      </c>
    </row>
    <row r="108" customFormat="false" ht="15" hidden="false" customHeight="true" outlineLevel="0" collapsed="false">
      <c r="A108" s="3" t="s">
        <v>7</v>
      </c>
      <c r="B108" s="3" t="s">
        <v>26</v>
      </c>
      <c r="C108" s="3" t="s">
        <v>9</v>
      </c>
      <c r="D108" s="3" t="s">
        <v>10</v>
      </c>
      <c r="E108" s="3" t="s">
        <v>97</v>
      </c>
      <c r="F108" s="3" t="s">
        <v>12</v>
      </c>
      <c r="G108" s="3" t="s">
        <v>13</v>
      </c>
    </row>
    <row r="109" customFormat="false" ht="15" hidden="false" customHeight="true" outlineLevel="0" collapsed="false">
      <c r="A109" s="3" t="s">
        <v>7</v>
      </c>
      <c r="B109" s="3" t="s">
        <v>28</v>
      </c>
      <c r="C109" s="3" t="s">
        <v>9</v>
      </c>
      <c r="D109" s="3" t="s">
        <v>10</v>
      </c>
      <c r="E109" s="3" t="s">
        <v>126</v>
      </c>
      <c r="F109" s="3" t="s">
        <v>12</v>
      </c>
      <c r="G109" s="3" t="s">
        <v>13</v>
      </c>
    </row>
    <row r="110" customFormat="false" ht="15" hidden="false" customHeight="true" outlineLevel="0" collapsed="false">
      <c r="A110" s="3" t="s">
        <v>7</v>
      </c>
      <c r="B110" s="3" t="s">
        <v>30</v>
      </c>
      <c r="C110" s="3" t="s">
        <v>9</v>
      </c>
      <c r="D110" s="3" t="s">
        <v>10</v>
      </c>
      <c r="E110" s="3" t="s">
        <v>127</v>
      </c>
      <c r="F110" s="3" t="s">
        <v>12</v>
      </c>
      <c r="G110" s="3" t="s">
        <v>13</v>
      </c>
    </row>
    <row r="111" customFormat="false" ht="15" hidden="false" customHeight="true" outlineLevel="0" collapsed="false">
      <c r="A111" s="3" t="s">
        <v>7</v>
      </c>
      <c r="B111" s="3" t="s">
        <v>66</v>
      </c>
      <c r="C111" s="3" t="s">
        <v>9</v>
      </c>
      <c r="D111" s="3" t="s">
        <v>10</v>
      </c>
      <c r="E111" s="3" t="s">
        <v>128</v>
      </c>
      <c r="F111" s="3" t="s">
        <v>12</v>
      </c>
      <c r="G111" s="3" t="s">
        <v>13</v>
      </c>
    </row>
    <row r="112" customFormat="false" ht="15" hidden="false" customHeight="true" outlineLevel="0" collapsed="false">
      <c r="A112" s="3" t="s">
        <v>129</v>
      </c>
      <c r="B112" s="3" t="s">
        <v>130</v>
      </c>
      <c r="C112" s="3" t="s">
        <v>131</v>
      </c>
      <c r="D112" s="3" t="s">
        <v>132</v>
      </c>
      <c r="E112" s="3" t="s">
        <v>133</v>
      </c>
      <c r="F112" s="3" t="s">
        <v>12</v>
      </c>
      <c r="G112" s="3" t="s">
        <v>13</v>
      </c>
    </row>
    <row r="113" customFormat="false" ht="15" hidden="false" customHeight="true" outlineLevel="0" collapsed="false">
      <c r="A113" s="3" t="s">
        <v>134</v>
      </c>
      <c r="B113" s="3" t="s">
        <v>135</v>
      </c>
      <c r="C113" s="3" t="s">
        <v>136</v>
      </c>
      <c r="D113" s="3" t="s">
        <v>132</v>
      </c>
      <c r="E113" s="3" t="s">
        <v>137</v>
      </c>
      <c r="F113" s="3" t="s">
        <v>138</v>
      </c>
      <c r="G113" s="3" t="s">
        <v>13</v>
      </c>
    </row>
    <row r="114" customFormat="false" ht="15" hidden="false" customHeight="true" outlineLevel="0" collapsed="false">
      <c r="A114" s="3" t="s">
        <v>134</v>
      </c>
      <c r="B114" s="3" t="s">
        <v>139</v>
      </c>
      <c r="C114" s="3" t="s">
        <v>140</v>
      </c>
      <c r="D114" s="3" t="s">
        <v>141</v>
      </c>
      <c r="E114" s="3" t="s">
        <v>142</v>
      </c>
      <c r="F114" s="3"/>
      <c r="G114" s="3" t="s">
        <v>13</v>
      </c>
    </row>
    <row r="115" customFormat="false" ht="15" hidden="false" customHeight="true" outlineLevel="0" collapsed="false">
      <c r="A115" s="3" t="s">
        <v>143</v>
      </c>
      <c r="B115" s="3" t="s">
        <v>144</v>
      </c>
      <c r="C115" s="3" t="s">
        <v>145</v>
      </c>
      <c r="D115" s="3" t="s">
        <v>146</v>
      </c>
      <c r="E115" s="3" t="s">
        <v>147</v>
      </c>
      <c r="F115" s="3" t="s">
        <v>12</v>
      </c>
      <c r="G115" s="3" t="s">
        <v>13</v>
      </c>
    </row>
    <row r="116" customFormat="false" ht="15" hidden="false" customHeight="true" outlineLevel="0" collapsed="false">
      <c r="A116" s="3" t="s">
        <v>148</v>
      </c>
      <c r="B116" s="3" t="s">
        <v>149</v>
      </c>
      <c r="C116" s="3" t="s">
        <v>150</v>
      </c>
      <c r="D116" s="3" t="s">
        <v>151</v>
      </c>
      <c r="E116" s="3" t="s">
        <v>152</v>
      </c>
      <c r="F116" s="3" t="s">
        <v>12</v>
      </c>
      <c r="G116" s="3" t="s">
        <v>13</v>
      </c>
    </row>
    <row r="117" customFormat="false" ht="15" hidden="false" customHeight="true" outlineLevel="0" collapsed="false">
      <c r="A117" s="3" t="s">
        <v>153</v>
      </c>
      <c r="B117" s="3" t="s">
        <v>154</v>
      </c>
      <c r="C117" s="3" t="s">
        <v>155</v>
      </c>
      <c r="D117" s="3" t="s">
        <v>151</v>
      </c>
      <c r="E117" s="3" t="s">
        <v>156</v>
      </c>
      <c r="F117" s="3" t="s">
        <v>12</v>
      </c>
      <c r="G117" s="3" t="s">
        <v>13</v>
      </c>
    </row>
    <row r="118" customFormat="false" ht="15" hidden="false" customHeight="true" outlineLevel="0" collapsed="false">
      <c r="A118" s="3" t="s">
        <v>7</v>
      </c>
      <c r="B118" s="3" t="s">
        <v>157</v>
      </c>
      <c r="C118" s="3" t="s">
        <v>140</v>
      </c>
      <c r="D118" s="3" t="s">
        <v>141</v>
      </c>
      <c r="E118" s="3" t="s">
        <v>158</v>
      </c>
      <c r="F118" s="3" t="s">
        <v>12</v>
      </c>
      <c r="G118" s="3" t="s">
        <v>13</v>
      </c>
    </row>
    <row r="119" customFormat="false" ht="15" hidden="false" customHeight="true" outlineLevel="0" collapsed="false">
      <c r="A119" s="3" t="s">
        <v>7</v>
      </c>
      <c r="B119" s="3" t="s">
        <v>159</v>
      </c>
      <c r="C119" s="3" t="s">
        <v>140</v>
      </c>
      <c r="D119" s="3" t="s">
        <v>141</v>
      </c>
      <c r="E119" s="3" t="s">
        <v>160</v>
      </c>
      <c r="F119" s="3" t="s">
        <v>12</v>
      </c>
      <c r="G119" s="3" t="s">
        <v>13</v>
      </c>
    </row>
    <row r="120" customFormat="false" ht="15" hidden="false" customHeight="true" outlineLevel="0" collapsed="false">
      <c r="A120" s="3" t="s">
        <v>7</v>
      </c>
      <c r="B120" s="3" t="s">
        <v>161</v>
      </c>
      <c r="C120" s="3" t="s">
        <v>140</v>
      </c>
      <c r="D120" s="3" t="s">
        <v>141</v>
      </c>
      <c r="E120" s="3" t="s">
        <v>162</v>
      </c>
      <c r="F120" s="3" t="s">
        <v>12</v>
      </c>
      <c r="G120" s="3" t="s">
        <v>13</v>
      </c>
    </row>
    <row r="121" customFormat="false" ht="15" hidden="false" customHeight="true" outlineLevel="0" collapsed="false">
      <c r="A121" s="3" t="s">
        <v>163</v>
      </c>
      <c r="B121" s="3" t="s">
        <v>164</v>
      </c>
      <c r="C121" s="3" t="s">
        <v>165</v>
      </c>
      <c r="D121" s="3" t="s">
        <v>166</v>
      </c>
      <c r="E121" s="3"/>
      <c r="F121" s="3" t="s">
        <v>12</v>
      </c>
      <c r="G121" s="3" t="s">
        <v>13</v>
      </c>
    </row>
    <row r="122" customFormat="false" ht="15" hidden="false" customHeight="true" outlineLevel="0" collapsed="false">
      <c r="A122" s="3" t="s">
        <v>163</v>
      </c>
      <c r="B122" s="3" t="s">
        <v>167</v>
      </c>
      <c r="C122" s="3" t="s">
        <v>165</v>
      </c>
      <c r="D122" s="3" t="s">
        <v>168</v>
      </c>
      <c r="E122" s="3"/>
      <c r="F122" s="3" t="s">
        <v>12</v>
      </c>
      <c r="G122" s="3" t="s">
        <v>13</v>
      </c>
    </row>
    <row r="123" customFormat="false" ht="15" hidden="false" customHeight="true" outlineLevel="0" collapsed="false">
      <c r="A123" s="3" t="s">
        <v>163</v>
      </c>
      <c r="B123" s="3" t="s">
        <v>169</v>
      </c>
      <c r="C123" s="3" t="s">
        <v>165</v>
      </c>
      <c r="D123" s="3" t="s">
        <v>168</v>
      </c>
      <c r="E123" s="3"/>
      <c r="F123" s="3" t="s">
        <v>12</v>
      </c>
      <c r="G123" s="3" t="s">
        <v>13</v>
      </c>
    </row>
    <row r="124" customFormat="false" ht="15" hidden="false" customHeight="true" outlineLevel="0" collapsed="false">
      <c r="A124" s="3" t="s">
        <v>163</v>
      </c>
      <c r="B124" s="3" t="s">
        <v>170</v>
      </c>
      <c r="C124" s="3" t="s">
        <v>165</v>
      </c>
      <c r="D124" s="3" t="s">
        <v>168</v>
      </c>
      <c r="E124" s="3"/>
      <c r="F124" s="3" t="s">
        <v>12</v>
      </c>
      <c r="G124" s="3" t="s">
        <v>13</v>
      </c>
    </row>
    <row r="125" customFormat="false" ht="15" hidden="false" customHeight="true" outlineLevel="0" collapsed="false">
      <c r="A125" s="3" t="s">
        <v>163</v>
      </c>
      <c r="B125" s="3" t="s">
        <v>171</v>
      </c>
      <c r="C125" s="3" t="s">
        <v>165</v>
      </c>
      <c r="D125" s="3" t="s">
        <v>168</v>
      </c>
      <c r="E125" s="3"/>
      <c r="F125" s="3" t="s">
        <v>12</v>
      </c>
      <c r="G125" s="3" t="s">
        <v>13</v>
      </c>
    </row>
    <row r="126" customFormat="false" ht="15" hidden="false" customHeight="true" outlineLevel="0" collapsed="false">
      <c r="A126" s="3" t="s">
        <v>163</v>
      </c>
      <c r="B126" s="3" t="s">
        <v>172</v>
      </c>
      <c r="C126" s="3" t="s">
        <v>165</v>
      </c>
      <c r="D126" s="3" t="s">
        <v>168</v>
      </c>
      <c r="E126" s="3"/>
      <c r="F126" s="3" t="s">
        <v>12</v>
      </c>
      <c r="G126" s="3" t="s">
        <v>13</v>
      </c>
    </row>
    <row r="127" customFormat="false" ht="15" hidden="false" customHeight="true" outlineLevel="0" collapsed="false">
      <c r="A127" s="3" t="s">
        <v>173</v>
      </c>
      <c r="B127" s="3" t="s">
        <v>174</v>
      </c>
      <c r="C127" s="3" t="s">
        <v>175</v>
      </c>
      <c r="D127" s="3" t="s">
        <v>176</v>
      </c>
      <c r="E127" s="3" t="s">
        <v>177</v>
      </c>
      <c r="F127" s="3" t="s">
        <v>12</v>
      </c>
      <c r="G127" s="3" t="s">
        <v>13</v>
      </c>
    </row>
    <row r="128" customFormat="false" ht="15" hidden="false" customHeight="true" outlineLevel="0" collapsed="false">
      <c r="A128" s="3" t="s">
        <v>173</v>
      </c>
      <c r="B128" s="3" t="s">
        <v>178</v>
      </c>
      <c r="C128" s="3" t="s">
        <v>165</v>
      </c>
      <c r="D128" s="3" t="s">
        <v>166</v>
      </c>
      <c r="E128" s="3"/>
      <c r="F128" s="3" t="s">
        <v>12</v>
      </c>
      <c r="G128" s="3" t="s">
        <v>13</v>
      </c>
    </row>
    <row r="129" customFormat="false" ht="15" hidden="false" customHeight="true" outlineLevel="0" collapsed="false">
      <c r="A129" s="3" t="s">
        <v>179</v>
      </c>
      <c r="B129" s="3" t="s">
        <v>180</v>
      </c>
      <c r="C129" s="3" t="s">
        <v>165</v>
      </c>
      <c r="D129" s="3" t="s">
        <v>166</v>
      </c>
      <c r="E129" s="3"/>
      <c r="F129" s="3" t="s">
        <v>12</v>
      </c>
      <c r="G129" s="3" t="s">
        <v>13</v>
      </c>
    </row>
    <row r="130" customFormat="false" ht="15" hidden="false" customHeight="true" outlineLevel="0" collapsed="false">
      <c r="A130" s="3" t="s">
        <v>181</v>
      </c>
      <c r="B130" s="3" t="s">
        <v>182</v>
      </c>
      <c r="C130" s="3" t="s">
        <v>165</v>
      </c>
      <c r="D130" s="3" t="s">
        <v>166</v>
      </c>
      <c r="E130" s="3"/>
      <c r="F130" s="3" t="s">
        <v>12</v>
      </c>
      <c r="G130" s="3" t="s">
        <v>13</v>
      </c>
    </row>
    <row r="131" customFormat="false" ht="15" hidden="false" customHeight="true" outlineLevel="0" collapsed="false">
      <c r="A131" s="3" t="s">
        <v>183</v>
      </c>
      <c r="B131" s="3" t="s">
        <v>184</v>
      </c>
      <c r="C131" s="3" t="s">
        <v>185</v>
      </c>
      <c r="D131" s="3" t="s">
        <v>10</v>
      </c>
      <c r="E131" s="3" t="s">
        <v>186</v>
      </c>
      <c r="F131" s="3" t="s">
        <v>12</v>
      </c>
      <c r="G131" s="3" t="s">
        <v>187</v>
      </c>
    </row>
    <row r="132" customFormat="false" ht="15" hidden="false" customHeight="true" outlineLevel="0" collapsed="false">
      <c r="A132" s="3" t="s">
        <v>183</v>
      </c>
      <c r="B132" s="3" t="s">
        <v>188</v>
      </c>
      <c r="C132" s="3" t="s">
        <v>185</v>
      </c>
      <c r="D132" s="3" t="s">
        <v>10</v>
      </c>
      <c r="E132" s="3" t="s">
        <v>189</v>
      </c>
      <c r="F132" s="3" t="s">
        <v>12</v>
      </c>
      <c r="G132" s="3" t="s">
        <v>187</v>
      </c>
    </row>
    <row r="133" customFormat="false" ht="15" hidden="false" customHeight="true" outlineLevel="0" collapsed="false">
      <c r="A133" s="3" t="s">
        <v>183</v>
      </c>
      <c r="B133" s="3" t="s">
        <v>190</v>
      </c>
      <c r="C133" s="3" t="s">
        <v>185</v>
      </c>
      <c r="D133" s="3" t="s">
        <v>10</v>
      </c>
      <c r="E133" s="3" t="s">
        <v>191</v>
      </c>
      <c r="F133" s="3" t="s">
        <v>12</v>
      </c>
      <c r="G133" s="3" t="s">
        <v>187</v>
      </c>
    </row>
    <row r="134" customFormat="false" ht="15" hidden="false" customHeight="true" outlineLevel="0" collapsed="false">
      <c r="A134" s="3" t="s">
        <v>183</v>
      </c>
      <c r="B134" s="3" t="s">
        <v>192</v>
      </c>
      <c r="C134" s="3" t="s">
        <v>185</v>
      </c>
      <c r="D134" s="3" t="s">
        <v>10</v>
      </c>
      <c r="E134" s="3" t="s">
        <v>193</v>
      </c>
      <c r="F134" s="3" t="s">
        <v>12</v>
      </c>
      <c r="G134" s="3" t="s">
        <v>187</v>
      </c>
    </row>
    <row r="135" customFormat="false" ht="15" hidden="false" customHeight="true" outlineLevel="0" collapsed="false">
      <c r="A135" s="3" t="s">
        <v>183</v>
      </c>
      <c r="B135" s="3" t="s">
        <v>194</v>
      </c>
      <c r="C135" s="3" t="s">
        <v>185</v>
      </c>
      <c r="D135" s="3" t="s">
        <v>10</v>
      </c>
      <c r="E135" s="3" t="s">
        <v>195</v>
      </c>
      <c r="F135" s="3" t="s">
        <v>12</v>
      </c>
      <c r="G135" s="3" t="s">
        <v>187</v>
      </c>
    </row>
    <row r="136" customFormat="false" ht="15" hidden="false" customHeight="true" outlineLevel="0" collapsed="false">
      <c r="A136" s="3" t="s">
        <v>183</v>
      </c>
      <c r="B136" s="3" t="s">
        <v>196</v>
      </c>
      <c r="C136" s="3" t="s">
        <v>185</v>
      </c>
      <c r="D136" s="3" t="s">
        <v>10</v>
      </c>
      <c r="E136" s="3" t="s">
        <v>197</v>
      </c>
      <c r="F136" s="3" t="s">
        <v>12</v>
      </c>
      <c r="G136" s="3" t="s">
        <v>187</v>
      </c>
    </row>
    <row r="137" customFormat="false" ht="15" hidden="false" customHeight="true" outlineLevel="0" collapsed="false">
      <c r="A137" s="3" t="s">
        <v>183</v>
      </c>
      <c r="B137" s="3" t="s">
        <v>198</v>
      </c>
      <c r="C137" s="3" t="s">
        <v>185</v>
      </c>
      <c r="D137" s="3" t="s">
        <v>10</v>
      </c>
      <c r="E137" s="3" t="s">
        <v>199</v>
      </c>
      <c r="F137" s="3" t="s">
        <v>12</v>
      </c>
      <c r="G137" s="3" t="s">
        <v>187</v>
      </c>
    </row>
    <row r="138" customFormat="false" ht="15" hidden="false" customHeight="true" outlineLevel="0" collapsed="false">
      <c r="A138" s="3" t="s">
        <v>183</v>
      </c>
      <c r="B138" s="3" t="s">
        <v>200</v>
      </c>
      <c r="C138" s="3" t="s">
        <v>185</v>
      </c>
      <c r="D138" s="3" t="s">
        <v>10</v>
      </c>
      <c r="E138" s="3" t="s">
        <v>29</v>
      </c>
      <c r="F138" s="3" t="s">
        <v>12</v>
      </c>
      <c r="G138" s="3" t="s">
        <v>187</v>
      </c>
    </row>
    <row r="139" customFormat="false" ht="15" hidden="false" customHeight="true" outlineLevel="0" collapsed="false">
      <c r="A139" s="3" t="s">
        <v>183</v>
      </c>
      <c r="B139" s="3" t="s">
        <v>184</v>
      </c>
      <c r="C139" s="3" t="s">
        <v>185</v>
      </c>
      <c r="D139" s="3" t="s">
        <v>10</v>
      </c>
      <c r="E139" s="3" t="s">
        <v>201</v>
      </c>
      <c r="F139" s="3" t="s">
        <v>12</v>
      </c>
      <c r="G139" s="3" t="s">
        <v>187</v>
      </c>
    </row>
    <row r="140" customFormat="false" ht="15" hidden="false" customHeight="true" outlineLevel="0" collapsed="false">
      <c r="A140" s="3" t="s">
        <v>183</v>
      </c>
      <c r="B140" s="3" t="s">
        <v>188</v>
      </c>
      <c r="C140" s="3" t="s">
        <v>185</v>
      </c>
      <c r="D140" s="3" t="s">
        <v>10</v>
      </c>
      <c r="E140" s="3" t="s">
        <v>202</v>
      </c>
      <c r="F140" s="3" t="s">
        <v>12</v>
      </c>
      <c r="G140" s="3" t="s">
        <v>187</v>
      </c>
    </row>
    <row r="141" customFormat="false" ht="15" hidden="false" customHeight="true" outlineLevel="0" collapsed="false">
      <c r="A141" s="3" t="s">
        <v>183</v>
      </c>
      <c r="B141" s="3" t="s">
        <v>190</v>
      </c>
      <c r="C141" s="3" t="s">
        <v>185</v>
      </c>
      <c r="D141" s="3" t="s">
        <v>10</v>
      </c>
      <c r="E141" s="3" t="s">
        <v>203</v>
      </c>
      <c r="F141" s="3" t="s">
        <v>12</v>
      </c>
      <c r="G141" s="3" t="s">
        <v>187</v>
      </c>
    </row>
    <row r="142" customFormat="false" ht="15" hidden="false" customHeight="true" outlineLevel="0" collapsed="false">
      <c r="A142" s="3" t="s">
        <v>183</v>
      </c>
      <c r="B142" s="3" t="s">
        <v>192</v>
      </c>
      <c r="C142" s="3" t="s">
        <v>185</v>
      </c>
      <c r="D142" s="3" t="s">
        <v>10</v>
      </c>
      <c r="E142" s="3" t="s">
        <v>204</v>
      </c>
      <c r="F142" s="3" t="s">
        <v>12</v>
      </c>
      <c r="G142" s="3" t="s">
        <v>187</v>
      </c>
    </row>
    <row r="143" customFormat="false" ht="15" hidden="false" customHeight="true" outlineLevel="0" collapsed="false">
      <c r="A143" s="3" t="s">
        <v>183</v>
      </c>
      <c r="B143" s="3" t="s">
        <v>194</v>
      </c>
      <c r="C143" s="3" t="s">
        <v>185</v>
      </c>
      <c r="D143" s="3" t="s">
        <v>10</v>
      </c>
      <c r="E143" s="3" t="s">
        <v>205</v>
      </c>
      <c r="F143" s="3" t="s">
        <v>12</v>
      </c>
      <c r="G143" s="3" t="s">
        <v>187</v>
      </c>
    </row>
    <row r="144" customFormat="false" ht="15" hidden="false" customHeight="true" outlineLevel="0" collapsed="false">
      <c r="A144" s="3" t="s">
        <v>183</v>
      </c>
      <c r="B144" s="3" t="s">
        <v>196</v>
      </c>
      <c r="C144" s="3" t="s">
        <v>185</v>
      </c>
      <c r="D144" s="3" t="s">
        <v>10</v>
      </c>
      <c r="E144" s="3" t="s">
        <v>206</v>
      </c>
      <c r="F144" s="3" t="s">
        <v>12</v>
      </c>
      <c r="G144" s="3" t="s">
        <v>187</v>
      </c>
    </row>
    <row r="145" customFormat="false" ht="15" hidden="false" customHeight="true" outlineLevel="0" collapsed="false">
      <c r="A145" s="3" t="s">
        <v>183</v>
      </c>
      <c r="B145" s="3" t="s">
        <v>198</v>
      </c>
      <c r="C145" s="3" t="s">
        <v>185</v>
      </c>
      <c r="D145" s="3" t="s">
        <v>10</v>
      </c>
      <c r="E145" s="3" t="s">
        <v>207</v>
      </c>
      <c r="F145" s="3" t="s">
        <v>12</v>
      </c>
      <c r="G145" s="3" t="s">
        <v>187</v>
      </c>
    </row>
    <row r="146" customFormat="false" ht="15" hidden="false" customHeight="true" outlineLevel="0" collapsed="false">
      <c r="A146" s="3" t="s">
        <v>183</v>
      </c>
      <c r="B146" s="3" t="s">
        <v>200</v>
      </c>
      <c r="C146" s="3" t="s">
        <v>185</v>
      </c>
      <c r="D146" s="3" t="s">
        <v>10</v>
      </c>
      <c r="E146" s="3" t="s">
        <v>42</v>
      </c>
      <c r="F146" s="3" t="s">
        <v>12</v>
      </c>
      <c r="G146" s="3" t="s">
        <v>187</v>
      </c>
    </row>
    <row r="147" customFormat="false" ht="15" hidden="false" customHeight="true" outlineLevel="0" collapsed="false">
      <c r="A147" s="3" t="s">
        <v>183</v>
      </c>
      <c r="B147" s="3" t="s">
        <v>184</v>
      </c>
      <c r="C147" s="3" t="s">
        <v>185</v>
      </c>
      <c r="D147" s="3" t="s">
        <v>10</v>
      </c>
      <c r="E147" s="3" t="s">
        <v>208</v>
      </c>
      <c r="F147" s="3" t="s">
        <v>12</v>
      </c>
      <c r="G147" s="3" t="s">
        <v>187</v>
      </c>
    </row>
    <row r="148" customFormat="false" ht="15" hidden="false" customHeight="true" outlineLevel="0" collapsed="false">
      <c r="A148" s="3" t="s">
        <v>183</v>
      </c>
      <c r="B148" s="3" t="s">
        <v>188</v>
      </c>
      <c r="C148" s="3" t="s">
        <v>185</v>
      </c>
      <c r="D148" s="3" t="s">
        <v>10</v>
      </c>
      <c r="E148" s="3" t="s">
        <v>209</v>
      </c>
      <c r="F148" s="3" t="s">
        <v>12</v>
      </c>
      <c r="G148" s="3" t="s">
        <v>187</v>
      </c>
    </row>
    <row r="149" customFormat="false" ht="15" hidden="false" customHeight="true" outlineLevel="0" collapsed="false">
      <c r="A149" s="3" t="s">
        <v>183</v>
      </c>
      <c r="B149" s="3" t="s">
        <v>190</v>
      </c>
      <c r="C149" s="3" t="s">
        <v>185</v>
      </c>
      <c r="D149" s="3" t="s">
        <v>10</v>
      </c>
      <c r="E149" s="3" t="s">
        <v>210</v>
      </c>
      <c r="F149" s="3" t="s">
        <v>12</v>
      </c>
      <c r="G149" s="3" t="s">
        <v>187</v>
      </c>
    </row>
    <row r="150" customFormat="false" ht="15" hidden="false" customHeight="true" outlineLevel="0" collapsed="false">
      <c r="A150" s="3" t="s">
        <v>183</v>
      </c>
      <c r="B150" s="3" t="s">
        <v>192</v>
      </c>
      <c r="C150" s="3" t="s">
        <v>185</v>
      </c>
      <c r="D150" s="3" t="s">
        <v>10</v>
      </c>
      <c r="E150" s="3" t="s">
        <v>211</v>
      </c>
      <c r="F150" s="3" t="s">
        <v>12</v>
      </c>
      <c r="G150" s="3" t="s">
        <v>187</v>
      </c>
    </row>
    <row r="151" customFormat="false" ht="15" hidden="false" customHeight="true" outlineLevel="0" collapsed="false">
      <c r="A151" s="3" t="s">
        <v>183</v>
      </c>
      <c r="B151" s="3" t="s">
        <v>194</v>
      </c>
      <c r="C151" s="3" t="s">
        <v>185</v>
      </c>
      <c r="D151" s="3" t="s">
        <v>10</v>
      </c>
      <c r="E151" s="3" t="s">
        <v>212</v>
      </c>
      <c r="F151" s="3" t="s">
        <v>12</v>
      </c>
      <c r="G151" s="3" t="s">
        <v>187</v>
      </c>
    </row>
    <row r="152" customFormat="false" ht="15" hidden="false" customHeight="true" outlineLevel="0" collapsed="false">
      <c r="A152" s="3" t="s">
        <v>183</v>
      </c>
      <c r="B152" s="3" t="s">
        <v>196</v>
      </c>
      <c r="C152" s="3" t="s">
        <v>185</v>
      </c>
      <c r="D152" s="3" t="s">
        <v>10</v>
      </c>
      <c r="E152" s="3" t="s">
        <v>213</v>
      </c>
      <c r="F152" s="3" t="s">
        <v>12</v>
      </c>
      <c r="G152" s="3" t="s">
        <v>187</v>
      </c>
    </row>
    <row r="153" customFormat="false" ht="15" hidden="false" customHeight="true" outlineLevel="0" collapsed="false">
      <c r="A153" s="3" t="s">
        <v>183</v>
      </c>
      <c r="B153" s="3" t="s">
        <v>198</v>
      </c>
      <c r="C153" s="3" t="s">
        <v>185</v>
      </c>
      <c r="D153" s="3" t="s">
        <v>10</v>
      </c>
      <c r="E153" s="3" t="s">
        <v>214</v>
      </c>
      <c r="F153" s="3" t="s">
        <v>12</v>
      </c>
      <c r="G153" s="3" t="s">
        <v>187</v>
      </c>
    </row>
    <row r="154" customFormat="false" ht="15" hidden="false" customHeight="true" outlineLevel="0" collapsed="false">
      <c r="A154" s="3" t="s">
        <v>183</v>
      </c>
      <c r="B154" s="3" t="s">
        <v>200</v>
      </c>
      <c r="C154" s="3" t="s">
        <v>185</v>
      </c>
      <c r="D154" s="3" t="s">
        <v>10</v>
      </c>
      <c r="E154" s="3" t="s">
        <v>53</v>
      </c>
      <c r="F154" s="3" t="s">
        <v>12</v>
      </c>
      <c r="G154" s="3" t="s">
        <v>187</v>
      </c>
    </row>
    <row r="155" customFormat="false" ht="15" hidden="false" customHeight="true" outlineLevel="0" collapsed="false">
      <c r="A155" s="3" t="s">
        <v>183</v>
      </c>
      <c r="B155" s="3" t="s">
        <v>184</v>
      </c>
      <c r="C155" s="3" t="s">
        <v>185</v>
      </c>
      <c r="D155" s="3" t="s">
        <v>10</v>
      </c>
      <c r="E155" s="3" t="s">
        <v>215</v>
      </c>
      <c r="F155" s="3" t="s">
        <v>12</v>
      </c>
      <c r="G155" s="3" t="s">
        <v>187</v>
      </c>
    </row>
    <row r="156" customFormat="false" ht="15" hidden="false" customHeight="true" outlineLevel="0" collapsed="false">
      <c r="A156" s="3" t="s">
        <v>183</v>
      </c>
      <c r="B156" s="3" t="s">
        <v>188</v>
      </c>
      <c r="C156" s="3" t="s">
        <v>185</v>
      </c>
      <c r="D156" s="3" t="s">
        <v>10</v>
      </c>
      <c r="E156" s="3" t="s">
        <v>216</v>
      </c>
      <c r="F156" s="3" t="s">
        <v>12</v>
      </c>
      <c r="G156" s="3" t="s">
        <v>187</v>
      </c>
    </row>
    <row r="157" customFormat="false" ht="15" hidden="false" customHeight="true" outlineLevel="0" collapsed="false">
      <c r="A157" s="3" t="s">
        <v>183</v>
      </c>
      <c r="B157" s="3" t="s">
        <v>190</v>
      </c>
      <c r="C157" s="3" t="s">
        <v>185</v>
      </c>
      <c r="D157" s="3" t="s">
        <v>10</v>
      </c>
      <c r="E157" s="3" t="s">
        <v>217</v>
      </c>
      <c r="F157" s="3" t="s">
        <v>12</v>
      </c>
      <c r="G157" s="3" t="s">
        <v>187</v>
      </c>
    </row>
    <row r="158" customFormat="false" ht="15" hidden="false" customHeight="true" outlineLevel="0" collapsed="false">
      <c r="A158" s="3" t="s">
        <v>183</v>
      </c>
      <c r="B158" s="3" t="s">
        <v>192</v>
      </c>
      <c r="C158" s="3" t="s">
        <v>185</v>
      </c>
      <c r="D158" s="3" t="s">
        <v>10</v>
      </c>
      <c r="E158" s="3" t="s">
        <v>218</v>
      </c>
      <c r="F158" s="3" t="s">
        <v>12</v>
      </c>
      <c r="G158" s="3" t="s">
        <v>187</v>
      </c>
    </row>
    <row r="159" customFormat="false" ht="15" hidden="false" customHeight="true" outlineLevel="0" collapsed="false">
      <c r="A159" s="3" t="s">
        <v>183</v>
      </c>
      <c r="B159" s="3" t="s">
        <v>194</v>
      </c>
      <c r="C159" s="3" t="s">
        <v>185</v>
      </c>
      <c r="D159" s="3" t="s">
        <v>10</v>
      </c>
      <c r="E159" s="3" t="s">
        <v>219</v>
      </c>
      <c r="F159" s="3" t="s">
        <v>12</v>
      </c>
      <c r="G159" s="3" t="s">
        <v>187</v>
      </c>
    </row>
    <row r="160" customFormat="false" ht="15" hidden="false" customHeight="true" outlineLevel="0" collapsed="false">
      <c r="A160" s="3" t="s">
        <v>183</v>
      </c>
      <c r="B160" s="3" t="s">
        <v>196</v>
      </c>
      <c r="C160" s="3" t="s">
        <v>185</v>
      </c>
      <c r="D160" s="3" t="s">
        <v>10</v>
      </c>
      <c r="E160" s="3" t="s">
        <v>220</v>
      </c>
      <c r="F160" s="3" t="s">
        <v>12</v>
      </c>
      <c r="G160" s="3" t="s">
        <v>187</v>
      </c>
    </row>
    <row r="161" customFormat="false" ht="15" hidden="false" customHeight="true" outlineLevel="0" collapsed="false">
      <c r="A161" s="3" t="s">
        <v>183</v>
      </c>
      <c r="B161" s="3" t="s">
        <v>198</v>
      </c>
      <c r="C161" s="3" t="s">
        <v>185</v>
      </c>
      <c r="D161" s="3" t="s">
        <v>10</v>
      </c>
      <c r="E161" s="3" t="s">
        <v>221</v>
      </c>
      <c r="F161" s="3" t="s">
        <v>12</v>
      </c>
      <c r="G161" s="3" t="s">
        <v>187</v>
      </c>
    </row>
    <row r="162" customFormat="false" ht="15" hidden="false" customHeight="true" outlineLevel="0" collapsed="false">
      <c r="A162" s="3" t="s">
        <v>183</v>
      </c>
      <c r="B162" s="3" t="s">
        <v>200</v>
      </c>
      <c r="C162" s="3" t="s">
        <v>185</v>
      </c>
      <c r="D162" s="3" t="s">
        <v>10</v>
      </c>
      <c r="E162" s="3" t="s">
        <v>64</v>
      </c>
      <c r="F162" s="3" t="s">
        <v>12</v>
      </c>
      <c r="G162" s="3" t="s">
        <v>187</v>
      </c>
    </row>
    <row r="163" customFormat="false" ht="15" hidden="false" customHeight="true" outlineLevel="0" collapsed="false">
      <c r="A163" s="3" t="s">
        <v>183</v>
      </c>
      <c r="B163" s="3" t="s">
        <v>184</v>
      </c>
      <c r="C163" s="3" t="s">
        <v>185</v>
      </c>
      <c r="D163" s="3" t="s">
        <v>10</v>
      </c>
      <c r="E163" s="3" t="s">
        <v>222</v>
      </c>
      <c r="F163" s="3" t="s">
        <v>12</v>
      </c>
      <c r="G163" s="3" t="s">
        <v>187</v>
      </c>
    </row>
    <row r="164" customFormat="false" ht="15" hidden="false" customHeight="true" outlineLevel="0" collapsed="false">
      <c r="A164" s="3" t="s">
        <v>183</v>
      </c>
      <c r="B164" s="3" t="s">
        <v>188</v>
      </c>
      <c r="C164" s="3" t="s">
        <v>185</v>
      </c>
      <c r="D164" s="3" t="s">
        <v>10</v>
      </c>
      <c r="E164" s="3" t="s">
        <v>223</v>
      </c>
      <c r="F164" s="3" t="s">
        <v>12</v>
      </c>
      <c r="G164" s="3" t="s">
        <v>187</v>
      </c>
    </row>
    <row r="165" customFormat="false" ht="15" hidden="false" customHeight="true" outlineLevel="0" collapsed="false">
      <c r="A165" s="3" t="s">
        <v>183</v>
      </c>
      <c r="B165" s="3" t="s">
        <v>190</v>
      </c>
      <c r="C165" s="3" t="s">
        <v>185</v>
      </c>
      <c r="D165" s="3" t="s">
        <v>10</v>
      </c>
      <c r="E165" s="3" t="s">
        <v>224</v>
      </c>
      <c r="F165" s="3" t="s">
        <v>12</v>
      </c>
      <c r="G165" s="3" t="s">
        <v>187</v>
      </c>
    </row>
    <row r="166" customFormat="false" ht="15" hidden="false" customHeight="true" outlineLevel="0" collapsed="false">
      <c r="A166" s="3" t="s">
        <v>183</v>
      </c>
      <c r="B166" s="3" t="s">
        <v>192</v>
      </c>
      <c r="C166" s="3" t="s">
        <v>185</v>
      </c>
      <c r="D166" s="3" t="s">
        <v>10</v>
      </c>
      <c r="E166" s="3" t="s">
        <v>225</v>
      </c>
      <c r="F166" s="3" t="s">
        <v>12</v>
      </c>
      <c r="G166" s="3" t="s">
        <v>187</v>
      </c>
    </row>
    <row r="167" customFormat="false" ht="15" hidden="false" customHeight="true" outlineLevel="0" collapsed="false">
      <c r="A167" s="3" t="s">
        <v>183</v>
      </c>
      <c r="B167" s="3" t="s">
        <v>194</v>
      </c>
      <c r="C167" s="3" t="s">
        <v>185</v>
      </c>
      <c r="D167" s="3" t="s">
        <v>10</v>
      </c>
      <c r="E167" s="3" t="s">
        <v>226</v>
      </c>
      <c r="F167" s="3" t="s">
        <v>12</v>
      </c>
      <c r="G167" s="3" t="s">
        <v>187</v>
      </c>
    </row>
    <row r="168" customFormat="false" ht="15" hidden="false" customHeight="true" outlineLevel="0" collapsed="false">
      <c r="A168" s="3" t="s">
        <v>183</v>
      </c>
      <c r="B168" s="3" t="s">
        <v>196</v>
      </c>
      <c r="C168" s="3" t="s">
        <v>185</v>
      </c>
      <c r="D168" s="3" t="s">
        <v>10</v>
      </c>
      <c r="E168" s="3" t="s">
        <v>227</v>
      </c>
      <c r="F168" s="3" t="s">
        <v>12</v>
      </c>
      <c r="G168" s="3" t="s">
        <v>187</v>
      </c>
    </row>
    <row r="169" customFormat="false" ht="15" hidden="false" customHeight="true" outlineLevel="0" collapsed="false">
      <c r="A169" s="3" t="s">
        <v>183</v>
      </c>
      <c r="B169" s="3" t="s">
        <v>198</v>
      </c>
      <c r="C169" s="3" t="s">
        <v>185</v>
      </c>
      <c r="D169" s="3" t="s">
        <v>10</v>
      </c>
      <c r="E169" s="3" t="s">
        <v>228</v>
      </c>
      <c r="F169" s="3" t="s">
        <v>12</v>
      </c>
      <c r="G169" s="3" t="s">
        <v>187</v>
      </c>
    </row>
    <row r="170" customFormat="false" ht="15" hidden="false" customHeight="true" outlineLevel="0" collapsed="false">
      <c r="A170" s="3" t="s">
        <v>183</v>
      </c>
      <c r="B170" s="3" t="s">
        <v>200</v>
      </c>
      <c r="C170" s="3" t="s">
        <v>185</v>
      </c>
      <c r="D170" s="3" t="s">
        <v>10</v>
      </c>
      <c r="E170" s="3" t="s">
        <v>76</v>
      </c>
      <c r="F170" s="3" t="s">
        <v>12</v>
      </c>
      <c r="G170" s="3" t="s">
        <v>187</v>
      </c>
    </row>
    <row r="171" customFormat="false" ht="15" hidden="false" customHeight="true" outlineLevel="0" collapsed="false">
      <c r="A171" s="3" t="s">
        <v>183</v>
      </c>
      <c r="B171" s="3" t="s">
        <v>184</v>
      </c>
      <c r="C171" s="3" t="s">
        <v>185</v>
      </c>
      <c r="D171" s="3" t="s">
        <v>10</v>
      </c>
      <c r="E171" s="3" t="s">
        <v>229</v>
      </c>
      <c r="F171" s="3" t="s">
        <v>12</v>
      </c>
      <c r="G171" s="3" t="s">
        <v>187</v>
      </c>
    </row>
    <row r="172" customFormat="false" ht="15" hidden="false" customHeight="true" outlineLevel="0" collapsed="false">
      <c r="A172" s="3" t="s">
        <v>183</v>
      </c>
      <c r="B172" s="3" t="s">
        <v>188</v>
      </c>
      <c r="C172" s="3" t="s">
        <v>185</v>
      </c>
      <c r="D172" s="3" t="s">
        <v>10</v>
      </c>
      <c r="E172" s="3" t="s">
        <v>230</v>
      </c>
      <c r="F172" s="3" t="s">
        <v>12</v>
      </c>
      <c r="G172" s="3" t="s">
        <v>187</v>
      </c>
    </row>
    <row r="173" customFormat="false" ht="15" hidden="false" customHeight="true" outlineLevel="0" collapsed="false">
      <c r="A173" s="3" t="s">
        <v>183</v>
      </c>
      <c r="B173" s="3" t="s">
        <v>190</v>
      </c>
      <c r="C173" s="3" t="s">
        <v>185</v>
      </c>
      <c r="D173" s="3" t="s">
        <v>10</v>
      </c>
      <c r="E173" s="3" t="s">
        <v>231</v>
      </c>
      <c r="F173" s="3" t="s">
        <v>12</v>
      </c>
      <c r="G173" s="3" t="s">
        <v>187</v>
      </c>
    </row>
    <row r="174" customFormat="false" ht="15" hidden="false" customHeight="true" outlineLevel="0" collapsed="false">
      <c r="A174" s="3" t="s">
        <v>183</v>
      </c>
      <c r="B174" s="3" t="s">
        <v>192</v>
      </c>
      <c r="C174" s="3" t="s">
        <v>185</v>
      </c>
      <c r="D174" s="3" t="s">
        <v>10</v>
      </c>
      <c r="E174" s="3" t="s">
        <v>232</v>
      </c>
      <c r="F174" s="3" t="s">
        <v>12</v>
      </c>
      <c r="G174" s="3" t="s">
        <v>187</v>
      </c>
    </row>
    <row r="175" customFormat="false" ht="15" hidden="false" customHeight="true" outlineLevel="0" collapsed="false">
      <c r="A175" s="3" t="s">
        <v>183</v>
      </c>
      <c r="B175" s="3" t="s">
        <v>194</v>
      </c>
      <c r="C175" s="3" t="s">
        <v>185</v>
      </c>
      <c r="D175" s="3" t="s">
        <v>10</v>
      </c>
      <c r="E175" s="3" t="s">
        <v>233</v>
      </c>
      <c r="F175" s="3" t="s">
        <v>12</v>
      </c>
      <c r="G175" s="3" t="s">
        <v>187</v>
      </c>
    </row>
    <row r="176" customFormat="false" ht="15" hidden="false" customHeight="true" outlineLevel="0" collapsed="false">
      <c r="A176" s="3" t="s">
        <v>183</v>
      </c>
      <c r="B176" s="3" t="s">
        <v>196</v>
      </c>
      <c r="C176" s="3" t="s">
        <v>185</v>
      </c>
      <c r="D176" s="3" t="s">
        <v>10</v>
      </c>
      <c r="E176" s="3" t="s">
        <v>234</v>
      </c>
      <c r="F176" s="3" t="s">
        <v>12</v>
      </c>
      <c r="G176" s="3" t="s">
        <v>187</v>
      </c>
    </row>
    <row r="177" customFormat="false" ht="15" hidden="false" customHeight="true" outlineLevel="0" collapsed="false">
      <c r="A177" s="3" t="s">
        <v>183</v>
      </c>
      <c r="B177" s="3" t="s">
        <v>198</v>
      </c>
      <c r="C177" s="3" t="s">
        <v>185</v>
      </c>
      <c r="D177" s="3" t="s">
        <v>10</v>
      </c>
      <c r="E177" s="3" t="s">
        <v>235</v>
      </c>
      <c r="F177" s="3" t="s">
        <v>12</v>
      </c>
      <c r="G177" s="3" t="s">
        <v>187</v>
      </c>
    </row>
    <row r="178" customFormat="false" ht="15" hidden="false" customHeight="true" outlineLevel="0" collapsed="false">
      <c r="A178" s="3" t="s">
        <v>183</v>
      </c>
      <c r="B178" s="3" t="s">
        <v>200</v>
      </c>
      <c r="C178" s="3" t="s">
        <v>185</v>
      </c>
      <c r="D178" s="3" t="s">
        <v>10</v>
      </c>
      <c r="E178" s="3" t="s">
        <v>87</v>
      </c>
      <c r="F178" s="3" t="s">
        <v>12</v>
      </c>
      <c r="G178" s="3" t="s">
        <v>187</v>
      </c>
    </row>
    <row r="179" customFormat="false" ht="15" hidden="false" customHeight="true" outlineLevel="0" collapsed="false">
      <c r="A179" s="3" t="s">
        <v>183</v>
      </c>
      <c r="B179" s="3" t="s">
        <v>184</v>
      </c>
      <c r="C179" s="3" t="s">
        <v>185</v>
      </c>
      <c r="D179" s="3" t="s">
        <v>10</v>
      </c>
      <c r="E179" s="3" t="s">
        <v>236</v>
      </c>
      <c r="F179" s="3" t="s">
        <v>12</v>
      </c>
      <c r="G179" s="3" t="s">
        <v>187</v>
      </c>
    </row>
    <row r="180" customFormat="false" ht="15" hidden="false" customHeight="true" outlineLevel="0" collapsed="false">
      <c r="A180" s="3" t="s">
        <v>183</v>
      </c>
      <c r="B180" s="3" t="s">
        <v>188</v>
      </c>
      <c r="C180" s="3" t="s">
        <v>185</v>
      </c>
      <c r="D180" s="3" t="s">
        <v>10</v>
      </c>
      <c r="E180" s="3" t="s">
        <v>237</v>
      </c>
      <c r="F180" s="3" t="s">
        <v>12</v>
      </c>
      <c r="G180" s="3" t="s">
        <v>187</v>
      </c>
    </row>
    <row r="181" customFormat="false" ht="15" hidden="false" customHeight="true" outlineLevel="0" collapsed="false">
      <c r="A181" s="3" t="s">
        <v>183</v>
      </c>
      <c r="B181" s="3" t="s">
        <v>190</v>
      </c>
      <c r="C181" s="3" t="s">
        <v>185</v>
      </c>
      <c r="D181" s="3" t="s">
        <v>10</v>
      </c>
      <c r="E181" s="3" t="s">
        <v>238</v>
      </c>
      <c r="F181" s="3" t="s">
        <v>12</v>
      </c>
      <c r="G181" s="3" t="s">
        <v>187</v>
      </c>
    </row>
    <row r="182" customFormat="false" ht="15" hidden="false" customHeight="true" outlineLevel="0" collapsed="false">
      <c r="A182" s="3" t="s">
        <v>183</v>
      </c>
      <c r="B182" s="3" t="s">
        <v>192</v>
      </c>
      <c r="C182" s="3" t="s">
        <v>185</v>
      </c>
      <c r="D182" s="3" t="s">
        <v>10</v>
      </c>
      <c r="E182" s="3" t="s">
        <v>239</v>
      </c>
      <c r="F182" s="3" t="s">
        <v>12</v>
      </c>
      <c r="G182" s="3" t="s">
        <v>187</v>
      </c>
    </row>
    <row r="183" customFormat="false" ht="15" hidden="false" customHeight="true" outlineLevel="0" collapsed="false">
      <c r="A183" s="3" t="s">
        <v>183</v>
      </c>
      <c r="B183" s="3" t="s">
        <v>194</v>
      </c>
      <c r="C183" s="3" t="s">
        <v>185</v>
      </c>
      <c r="D183" s="3" t="s">
        <v>10</v>
      </c>
      <c r="E183" s="3" t="s">
        <v>240</v>
      </c>
      <c r="F183" s="3" t="s">
        <v>12</v>
      </c>
      <c r="G183" s="3" t="s">
        <v>187</v>
      </c>
    </row>
    <row r="184" customFormat="false" ht="15" hidden="false" customHeight="true" outlineLevel="0" collapsed="false">
      <c r="A184" s="3" t="s">
        <v>183</v>
      </c>
      <c r="B184" s="3" t="s">
        <v>196</v>
      </c>
      <c r="C184" s="3" t="s">
        <v>185</v>
      </c>
      <c r="D184" s="3" t="s">
        <v>10</v>
      </c>
      <c r="E184" s="3" t="s">
        <v>241</v>
      </c>
      <c r="F184" s="3" t="s">
        <v>12</v>
      </c>
      <c r="G184" s="3" t="s">
        <v>187</v>
      </c>
    </row>
    <row r="185" customFormat="false" ht="15" hidden="false" customHeight="true" outlineLevel="0" collapsed="false">
      <c r="A185" s="3" t="s">
        <v>183</v>
      </c>
      <c r="B185" s="3" t="s">
        <v>198</v>
      </c>
      <c r="C185" s="3" t="s">
        <v>185</v>
      </c>
      <c r="D185" s="3" t="s">
        <v>10</v>
      </c>
      <c r="E185" s="3" t="s">
        <v>242</v>
      </c>
      <c r="F185" s="3" t="s">
        <v>12</v>
      </c>
      <c r="G185" s="3" t="s">
        <v>187</v>
      </c>
    </row>
    <row r="186" customFormat="false" ht="15" hidden="false" customHeight="true" outlineLevel="0" collapsed="false">
      <c r="A186" s="3" t="s">
        <v>183</v>
      </c>
      <c r="B186" s="3" t="s">
        <v>200</v>
      </c>
      <c r="C186" s="3" t="s">
        <v>185</v>
      </c>
      <c r="D186" s="3" t="s">
        <v>10</v>
      </c>
      <c r="E186" s="3" t="s">
        <v>98</v>
      </c>
      <c r="F186" s="3" t="s">
        <v>12</v>
      </c>
      <c r="G186" s="3" t="s">
        <v>187</v>
      </c>
    </row>
    <row r="187" customFormat="false" ht="15" hidden="false" customHeight="true" outlineLevel="0" collapsed="false">
      <c r="A187" s="3" t="s">
        <v>183</v>
      </c>
      <c r="B187" s="3" t="s">
        <v>184</v>
      </c>
      <c r="C187" s="3" t="s">
        <v>185</v>
      </c>
      <c r="D187" s="3" t="s">
        <v>10</v>
      </c>
      <c r="E187" s="3" t="s">
        <v>243</v>
      </c>
      <c r="F187" s="3" t="s">
        <v>12</v>
      </c>
      <c r="G187" s="3" t="s">
        <v>187</v>
      </c>
    </row>
    <row r="188" customFormat="false" ht="15" hidden="false" customHeight="true" outlineLevel="0" collapsed="false">
      <c r="A188" s="3" t="s">
        <v>183</v>
      </c>
      <c r="B188" s="3" t="s">
        <v>188</v>
      </c>
      <c r="C188" s="3" t="s">
        <v>185</v>
      </c>
      <c r="D188" s="3" t="s">
        <v>10</v>
      </c>
      <c r="E188" s="3" t="s">
        <v>244</v>
      </c>
      <c r="F188" s="3" t="s">
        <v>12</v>
      </c>
      <c r="G188" s="3" t="s">
        <v>187</v>
      </c>
    </row>
    <row r="189" customFormat="false" ht="15" hidden="false" customHeight="true" outlineLevel="0" collapsed="false">
      <c r="A189" s="3" t="s">
        <v>183</v>
      </c>
      <c r="B189" s="3" t="s">
        <v>190</v>
      </c>
      <c r="C189" s="3" t="s">
        <v>185</v>
      </c>
      <c r="D189" s="3" t="s">
        <v>10</v>
      </c>
      <c r="E189" s="3" t="s">
        <v>245</v>
      </c>
      <c r="F189" s="3" t="s">
        <v>12</v>
      </c>
      <c r="G189" s="3" t="s">
        <v>187</v>
      </c>
    </row>
    <row r="190" customFormat="false" ht="15" hidden="false" customHeight="true" outlineLevel="0" collapsed="false">
      <c r="A190" s="3" t="s">
        <v>183</v>
      </c>
      <c r="B190" s="3" t="s">
        <v>192</v>
      </c>
      <c r="C190" s="3" t="s">
        <v>185</v>
      </c>
      <c r="D190" s="3" t="s">
        <v>10</v>
      </c>
      <c r="E190" s="3" t="s">
        <v>246</v>
      </c>
      <c r="F190" s="3" t="s">
        <v>12</v>
      </c>
      <c r="G190" s="3" t="s">
        <v>187</v>
      </c>
    </row>
    <row r="191" customFormat="false" ht="15" hidden="false" customHeight="true" outlineLevel="0" collapsed="false">
      <c r="A191" s="3" t="s">
        <v>183</v>
      </c>
      <c r="B191" s="3" t="s">
        <v>194</v>
      </c>
      <c r="C191" s="3" t="s">
        <v>185</v>
      </c>
      <c r="D191" s="3" t="s">
        <v>10</v>
      </c>
      <c r="E191" s="3" t="s">
        <v>247</v>
      </c>
      <c r="F191" s="3" t="s">
        <v>12</v>
      </c>
      <c r="G191" s="3" t="s">
        <v>187</v>
      </c>
    </row>
    <row r="192" customFormat="false" ht="15" hidden="false" customHeight="true" outlineLevel="0" collapsed="false">
      <c r="A192" s="3" t="s">
        <v>183</v>
      </c>
      <c r="B192" s="3" t="s">
        <v>196</v>
      </c>
      <c r="C192" s="3" t="s">
        <v>185</v>
      </c>
      <c r="D192" s="3" t="s">
        <v>10</v>
      </c>
      <c r="E192" s="3" t="s">
        <v>248</v>
      </c>
      <c r="F192" s="3" t="s">
        <v>12</v>
      </c>
      <c r="G192" s="3" t="s">
        <v>187</v>
      </c>
    </row>
    <row r="193" customFormat="false" ht="15" hidden="false" customHeight="true" outlineLevel="0" collapsed="false">
      <c r="A193" s="3" t="s">
        <v>183</v>
      </c>
      <c r="B193" s="3" t="s">
        <v>198</v>
      </c>
      <c r="C193" s="3" t="s">
        <v>185</v>
      </c>
      <c r="D193" s="3" t="s">
        <v>10</v>
      </c>
      <c r="E193" s="3" t="s">
        <v>249</v>
      </c>
      <c r="F193" s="3" t="s">
        <v>12</v>
      </c>
      <c r="G193" s="3" t="s">
        <v>187</v>
      </c>
    </row>
    <row r="194" customFormat="false" ht="15" hidden="false" customHeight="true" outlineLevel="0" collapsed="false">
      <c r="A194" s="3" t="s">
        <v>183</v>
      </c>
      <c r="B194" s="3" t="s">
        <v>200</v>
      </c>
      <c r="C194" s="3" t="s">
        <v>185</v>
      </c>
      <c r="D194" s="3" t="s">
        <v>10</v>
      </c>
      <c r="E194" s="3" t="s">
        <v>107</v>
      </c>
      <c r="F194" s="3" t="s">
        <v>12</v>
      </c>
      <c r="G194" s="3" t="s">
        <v>187</v>
      </c>
    </row>
    <row r="195" customFormat="false" ht="15" hidden="false" customHeight="true" outlineLevel="0" collapsed="false">
      <c r="A195" s="3" t="s">
        <v>183</v>
      </c>
      <c r="B195" s="3" t="s">
        <v>184</v>
      </c>
      <c r="C195" s="3" t="s">
        <v>185</v>
      </c>
      <c r="D195" s="3" t="s">
        <v>10</v>
      </c>
      <c r="E195" s="3" t="s">
        <v>250</v>
      </c>
      <c r="F195" s="3" t="s">
        <v>12</v>
      </c>
      <c r="G195" s="3" t="s">
        <v>187</v>
      </c>
    </row>
    <row r="196" customFormat="false" ht="15" hidden="false" customHeight="true" outlineLevel="0" collapsed="false">
      <c r="A196" s="3" t="s">
        <v>183</v>
      </c>
      <c r="B196" s="3" t="s">
        <v>188</v>
      </c>
      <c r="C196" s="3" t="s">
        <v>185</v>
      </c>
      <c r="D196" s="3" t="s">
        <v>10</v>
      </c>
      <c r="E196" s="3" t="s">
        <v>251</v>
      </c>
      <c r="F196" s="3" t="s">
        <v>12</v>
      </c>
      <c r="G196" s="3" t="s">
        <v>187</v>
      </c>
    </row>
    <row r="197" customFormat="false" ht="15" hidden="false" customHeight="true" outlineLevel="0" collapsed="false">
      <c r="A197" s="3" t="s">
        <v>183</v>
      </c>
      <c r="B197" s="3" t="s">
        <v>190</v>
      </c>
      <c r="C197" s="3" t="s">
        <v>185</v>
      </c>
      <c r="D197" s="3" t="s">
        <v>10</v>
      </c>
      <c r="E197" s="3" t="s">
        <v>252</v>
      </c>
      <c r="F197" s="3" t="s">
        <v>12</v>
      </c>
      <c r="G197" s="3" t="s">
        <v>187</v>
      </c>
    </row>
    <row r="198" customFormat="false" ht="15" hidden="false" customHeight="true" outlineLevel="0" collapsed="false">
      <c r="A198" s="3" t="s">
        <v>183</v>
      </c>
      <c r="B198" s="3" t="s">
        <v>192</v>
      </c>
      <c r="C198" s="3" t="s">
        <v>185</v>
      </c>
      <c r="D198" s="3" t="s">
        <v>10</v>
      </c>
      <c r="E198" s="3" t="s">
        <v>253</v>
      </c>
      <c r="F198" s="3" t="s">
        <v>12</v>
      </c>
      <c r="G198" s="3" t="s">
        <v>187</v>
      </c>
    </row>
    <row r="199" customFormat="false" ht="15" hidden="false" customHeight="true" outlineLevel="0" collapsed="false">
      <c r="A199" s="3" t="s">
        <v>183</v>
      </c>
      <c r="B199" s="3" t="s">
        <v>194</v>
      </c>
      <c r="C199" s="3" t="s">
        <v>185</v>
      </c>
      <c r="D199" s="3" t="s">
        <v>10</v>
      </c>
      <c r="E199" s="3" t="s">
        <v>254</v>
      </c>
      <c r="F199" s="3" t="s">
        <v>12</v>
      </c>
      <c r="G199" s="3" t="s">
        <v>187</v>
      </c>
    </row>
    <row r="200" customFormat="false" ht="15" hidden="false" customHeight="true" outlineLevel="0" collapsed="false">
      <c r="A200" s="3" t="s">
        <v>183</v>
      </c>
      <c r="B200" s="3" t="s">
        <v>196</v>
      </c>
      <c r="C200" s="3" t="s">
        <v>185</v>
      </c>
      <c r="D200" s="3" t="s">
        <v>10</v>
      </c>
      <c r="E200" s="3" t="s">
        <v>255</v>
      </c>
      <c r="F200" s="3" t="s">
        <v>12</v>
      </c>
      <c r="G200" s="3" t="s">
        <v>187</v>
      </c>
    </row>
    <row r="201" customFormat="false" ht="15" hidden="false" customHeight="true" outlineLevel="0" collapsed="false">
      <c r="A201" s="3" t="s">
        <v>183</v>
      </c>
      <c r="B201" s="3" t="s">
        <v>198</v>
      </c>
      <c r="C201" s="3" t="s">
        <v>185</v>
      </c>
      <c r="D201" s="3" t="s">
        <v>10</v>
      </c>
      <c r="E201" s="3" t="s">
        <v>256</v>
      </c>
      <c r="F201" s="3" t="s">
        <v>12</v>
      </c>
      <c r="G201" s="3" t="s">
        <v>187</v>
      </c>
    </row>
    <row r="202" customFormat="false" ht="15" hidden="false" customHeight="true" outlineLevel="0" collapsed="false">
      <c r="A202" s="3" t="s">
        <v>183</v>
      </c>
      <c r="B202" s="3" t="s">
        <v>200</v>
      </c>
      <c r="C202" s="3" t="s">
        <v>185</v>
      </c>
      <c r="D202" s="3" t="s">
        <v>10</v>
      </c>
      <c r="E202" s="3" t="s">
        <v>116</v>
      </c>
      <c r="F202" s="3" t="s">
        <v>12</v>
      </c>
      <c r="G202" s="3" t="s">
        <v>187</v>
      </c>
    </row>
    <row r="203" customFormat="false" ht="15" hidden="false" customHeight="true" outlineLevel="0" collapsed="false">
      <c r="A203" s="3" t="s">
        <v>183</v>
      </c>
      <c r="B203" s="3" t="s">
        <v>184</v>
      </c>
      <c r="C203" s="3" t="s">
        <v>185</v>
      </c>
      <c r="D203" s="3" t="s">
        <v>10</v>
      </c>
      <c r="E203" s="3" t="s">
        <v>257</v>
      </c>
      <c r="F203" s="3" t="s">
        <v>12</v>
      </c>
      <c r="G203" s="3" t="s">
        <v>187</v>
      </c>
    </row>
    <row r="204" customFormat="false" ht="15" hidden="false" customHeight="true" outlineLevel="0" collapsed="false">
      <c r="A204" s="3" t="s">
        <v>183</v>
      </c>
      <c r="B204" s="3" t="s">
        <v>188</v>
      </c>
      <c r="C204" s="3" t="s">
        <v>185</v>
      </c>
      <c r="D204" s="3" t="s">
        <v>10</v>
      </c>
      <c r="E204" s="3" t="s">
        <v>258</v>
      </c>
      <c r="F204" s="3" t="s">
        <v>12</v>
      </c>
      <c r="G204" s="3" t="s">
        <v>187</v>
      </c>
    </row>
    <row r="205" customFormat="false" ht="15" hidden="false" customHeight="true" outlineLevel="0" collapsed="false">
      <c r="A205" s="3" t="s">
        <v>183</v>
      </c>
      <c r="B205" s="3" t="s">
        <v>190</v>
      </c>
      <c r="C205" s="3" t="s">
        <v>185</v>
      </c>
      <c r="D205" s="3" t="s">
        <v>10</v>
      </c>
      <c r="E205" s="3" t="s">
        <v>259</v>
      </c>
      <c r="F205" s="3" t="s">
        <v>12</v>
      </c>
      <c r="G205" s="3" t="s">
        <v>187</v>
      </c>
    </row>
    <row r="206" customFormat="false" ht="15" hidden="false" customHeight="true" outlineLevel="0" collapsed="false">
      <c r="A206" s="3" t="s">
        <v>183</v>
      </c>
      <c r="B206" s="3" t="s">
        <v>192</v>
      </c>
      <c r="C206" s="3" t="s">
        <v>185</v>
      </c>
      <c r="D206" s="3" t="s">
        <v>10</v>
      </c>
      <c r="E206" s="3" t="s">
        <v>260</v>
      </c>
      <c r="F206" s="3" t="s">
        <v>12</v>
      </c>
      <c r="G206" s="3" t="s">
        <v>187</v>
      </c>
    </row>
    <row r="207" customFormat="false" ht="15" hidden="false" customHeight="true" outlineLevel="0" collapsed="false">
      <c r="A207" s="3" t="s">
        <v>183</v>
      </c>
      <c r="B207" s="3" t="s">
        <v>194</v>
      </c>
      <c r="C207" s="3" t="s">
        <v>185</v>
      </c>
      <c r="D207" s="3" t="s">
        <v>10</v>
      </c>
      <c r="E207" s="3" t="s">
        <v>261</v>
      </c>
      <c r="F207" s="3" t="s">
        <v>12</v>
      </c>
      <c r="G207" s="3" t="s">
        <v>187</v>
      </c>
    </row>
    <row r="208" customFormat="false" ht="15" hidden="false" customHeight="true" outlineLevel="0" collapsed="false">
      <c r="A208" s="3" t="s">
        <v>183</v>
      </c>
      <c r="B208" s="3" t="s">
        <v>196</v>
      </c>
      <c r="C208" s="3" t="s">
        <v>185</v>
      </c>
      <c r="D208" s="3" t="s">
        <v>10</v>
      </c>
      <c r="E208" s="3" t="s">
        <v>262</v>
      </c>
      <c r="F208" s="3" t="s">
        <v>12</v>
      </c>
      <c r="G208" s="3" t="s">
        <v>187</v>
      </c>
    </row>
    <row r="209" customFormat="false" ht="15" hidden="false" customHeight="true" outlineLevel="0" collapsed="false">
      <c r="A209" s="3" t="s">
        <v>183</v>
      </c>
      <c r="B209" s="3" t="s">
        <v>198</v>
      </c>
      <c r="C209" s="3" t="s">
        <v>185</v>
      </c>
      <c r="D209" s="3" t="s">
        <v>10</v>
      </c>
      <c r="E209" s="3" t="s">
        <v>263</v>
      </c>
      <c r="F209" s="3" t="s">
        <v>12</v>
      </c>
      <c r="G209" s="3" t="s">
        <v>187</v>
      </c>
    </row>
    <row r="210" customFormat="false" ht="15" hidden="false" customHeight="true" outlineLevel="0" collapsed="false">
      <c r="A210" s="3" t="s">
        <v>183</v>
      </c>
      <c r="B210" s="3" t="s">
        <v>200</v>
      </c>
      <c r="C210" s="3" t="s">
        <v>185</v>
      </c>
      <c r="D210" s="3" t="s">
        <v>10</v>
      </c>
      <c r="E210" s="3" t="s">
        <v>264</v>
      </c>
      <c r="F210" s="3" t="s">
        <v>12</v>
      </c>
      <c r="G210" s="3" t="s">
        <v>187</v>
      </c>
    </row>
    <row r="211" customFormat="false" ht="15" hidden="false" customHeight="true" outlineLevel="0" collapsed="false">
      <c r="A211" s="3" t="s">
        <v>183</v>
      </c>
      <c r="B211" s="3" t="s">
        <v>265</v>
      </c>
      <c r="C211" s="3" t="s">
        <v>165</v>
      </c>
      <c r="D211" s="3" t="s">
        <v>166</v>
      </c>
      <c r="E211" s="3" t="s">
        <v>266</v>
      </c>
      <c r="F211" s="3" t="s">
        <v>12</v>
      </c>
      <c r="G211" s="3" t="s">
        <v>187</v>
      </c>
    </row>
    <row r="212" customFormat="false" ht="15" hidden="false" customHeight="true" outlineLevel="0" collapsed="false">
      <c r="A212" s="3" t="s">
        <v>183</v>
      </c>
      <c r="B212" s="3" t="s">
        <v>267</v>
      </c>
      <c r="C212" s="3" t="s">
        <v>165</v>
      </c>
      <c r="D212" s="3" t="s">
        <v>166</v>
      </c>
      <c r="E212" s="3" t="s">
        <v>268</v>
      </c>
      <c r="F212" s="3" t="s">
        <v>12</v>
      </c>
      <c r="G212" s="3" t="s">
        <v>187</v>
      </c>
    </row>
    <row r="213" customFormat="false" ht="15" hidden="false" customHeight="true" outlineLevel="0" collapsed="false">
      <c r="A213" s="3" t="s">
        <v>183</v>
      </c>
      <c r="B213" s="3" t="s">
        <v>269</v>
      </c>
      <c r="C213" s="3" t="s">
        <v>165</v>
      </c>
      <c r="D213" s="3" t="s">
        <v>168</v>
      </c>
      <c r="E213" s="3"/>
      <c r="F213" s="3" t="s">
        <v>12</v>
      </c>
      <c r="G213" s="3" t="s">
        <v>187</v>
      </c>
    </row>
    <row r="214" customFormat="false" ht="15" hidden="false" customHeight="true" outlineLevel="0" collapsed="false">
      <c r="A214" s="3" t="s">
        <v>183</v>
      </c>
      <c r="B214" s="3" t="s">
        <v>270</v>
      </c>
      <c r="C214" s="3" t="s">
        <v>165</v>
      </c>
      <c r="D214" s="3" t="s">
        <v>166</v>
      </c>
      <c r="E214" s="3"/>
      <c r="F214" s="3" t="s">
        <v>12</v>
      </c>
      <c r="G214" s="3" t="s">
        <v>187</v>
      </c>
    </row>
    <row r="215" customFormat="false" ht="15" hidden="false" customHeight="true" outlineLevel="0" collapsed="false">
      <c r="A215" s="3" t="s">
        <v>183</v>
      </c>
      <c r="B215" s="3" t="s">
        <v>271</v>
      </c>
      <c r="C215" s="3" t="s">
        <v>165</v>
      </c>
      <c r="D215" s="3" t="s">
        <v>166</v>
      </c>
      <c r="E215" s="3"/>
      <c r="F215" s="3" t="s">
        <v>12</v>
      </c>
      <c r="G215" s="3" t="s">
        <v>187</v>
      </c>
    </row>
    <row r="216" customFormat="false" ht="15" hidden="false" customHeight="true" outlineLevel="0" collapsed="false">
      <c r="A216" s="3" t="s">
        <v>183</v>
      </c>
      <c r="B216" s="3" t="s">
        <v>272</v>
      </c>
      <c r="C216" s="3" t="s">
        <v>165</v>
      </c>
      <c r="D216" s="3" t="s">
        <v>168</v>
      </c>
      <c r="E216" s="3"/>
      <c r="F216" s="3" t="s">
        <v>12</v>
      </c>
      <c r="G216" s="3" t="s">
        <v>187</v>
      </c>
    </row>
    <row r="217" customFormat="false" ht="15" hidden="false" customHeight="true" outlineLevel="0" collapsed="false">
      <c r="A217" s="3" t="s">
        <v>183</v>
      </c>
      <c r="B217" s="3" t="s">
        <v>273</v>
      </c>
      <c r="C217" s="3" t="s">
        <v>165</v>
      </c>
      <c r="D217" s="3" t="s">
        <v>166</v>
      </c>
      <c r="E217" s="3" t="s">
        <v>274</v>
      </c>
      <c r="F217" s="3" t="s">
        <v>12</v>
      </c>
      <c r="G217" s="3" t="s">
        <v>187</v>
      </c>
    </row>
    <row r="218" customFormat="false" ht="15" hidden="false" customHeight="true" outlineLevel="0" collapsed="false">
      <c r="A218" s="3" t="s">
        <v>275</v>
      </c>
      <c r="B218" s="3" t="s">
        <v>276</v>
      </c>
      <c r="C218" s="3" t="s">
        <v>277</v>
      </c>
      <c r="D218" s="3" t="s">
        <v>278</v>
      </c>
      <c r="E218" s="3" t="s">
        <v>177</v>
      </c>
      <c r="F218" s="3" t="s">
        <v>12</v>
      </c>
      <c r="G218" s="3" t="s">
        <v>187</v>
      </c>
    </row>
    <row r="219" customFormat="false" ht="15" hidden="false" customHeight="true" outlineLevel="0" collapsed="false">
      <c r="A219" s="3" t="s">
        <v>183</v>
      </c>
      <c r="B219" s="3" t="s">
        <v>279</v>
      </c>
      <c r="C219" s="3" t="s">
        <v>165</v>
      </c>
      <c r="D219" s="3" t="s">
        <v>166</v>
      </c>
      <c r="E219" s="3"/>
      <c r="F219" s="3" t="s">
        <v>12</v>
      </c>
      <c r="G219" s="3" t="s">
        <v>187</v>
      </c>
    </row>
    <row r="220" customFormat="false" ht="15" hidden="false" customHeight="true" outlineLevel="0" collapsed="false">
      <c r="A220" s="3" t="s">
        <v>280</v>
      </c>
      <c r="B220" s="3" t="s">
        <v>281</v>
      </c>
      <c r="C220" s="3" t="s">
        <v>282</v>
      </c>
      <c r="D220" s="3" t="s">
        <v>10</v>
      </c>
      <c r="E220" s="3" t="s">
        <v>283</v>
      </c>
      <c r="F220" s="3" t="s">
        <v>12</v>
      </c>
      <c r="G220" s="3" t="s">
        <v>187</v>
      </c>
    </row>
    <row r="221" customFormat="false" ht="15" hidden="false" customHeight="true" outlineLevel="0" collapsed="false">
      <c r="A221" s="3" t="s">
        <v>280</v>
      </c>
      <c r="B221" s="3" t="s">
        <v>284</v>
      </c>
      <c r="C221" s="3" t="s">
        <v>282</v>
      </c>
      <c r="D221" s="3" t="s">
        <v>10</v>
      </c>
      <c r="E221" s="3" t="s">
        <v>285</v>
      </c>
      <c r="F221" s="3" t="s">
        <v>12</v>
      </c>
      <c r="G221" s="3" t="s">
        <v>187</v>
      </c>
    </row>
    <row r="222" customFormat="false" ht="15" hidden="false" customHeight="true" outlineLevel="0" collapsed="false">
      <c r="A222" s="3" t="s">
        <v>280</v>
      </c>
      <c r="B222" s="3" t="s">
        <v>286</v>
      </c>
      <c r="C222" s="3" t="s">
        <v>282</v>
      </c>
      <c r="D222" s="3" t="s">
        <v>10</v>
      </c>
      <c r="E222" s="3" t="s">
        <v>287</v>
      </c>
      <c r="F222" s="3" t="s">
        <v>12</v>
      </c>
      <c r="G222" s="3" t="s">
        <v>187</v>
      </c>
    </row>
    <row r="223" customFormat="false" ht="15" hidden="false" customHeight="true" outlineLevel="0" collapsed="false">
      <c r="A223" s="3" t="s">
        <v>280</v>
      </c>
      <c r="B223" s="3" t="s">
        <v>288</v>
      </c>
      <c r="C223" s="3" t="s">
        <v>282</v>
      </c>
      <c r="D223" s="3" t="s">
        <v>10</v>
      </c>
      <c r="E223" s="3" t="s">
        <v>289</v>
      </c>
      <c r="F223" s="3" t="s">
        <v>12</v>
      </c>
      <c r="G223" s="3" t="s">
        <v>187</v>
      </c>
    </row>
    <row r="224" customFormat="false" ht="15" hidden="false" customHeight="true" outlineLevel="0" collapsed="false">
      <c r="A224" s="3" t="s">
        <v>280</v>
      </c>
      <c r="B224" s="3" t="s">
        <v>290</v>
      </c>
      <c r="C224" s="3" t="s">
        <v>282</v>
      </c>
      <c r="D224" s="3" t="s">
        <v>10</v>
      </c>
      <c r="E224" s="3" t="s">
        <v>291</v>
      </c>
      <c r="F224" s="3" t="s">
        <v>12</v>
      </c>
      <c r="G224" s="3" t="s">
        <v>187</v>
      </c>
    </row>
    <row r="225" customFormat="false" ht="15" hidden="false" customHeight="true" outlineLevel="0" collapsed="false">
      <c r="A225" s="3" t="s">
        <v>280</v>
      </c>
      <c r="B225" s="3" t="s">
        <v>292</v>
      </c>
      <c r="C225" s="3" t="s">
        <v>282</v>
      </c>
      <c r="D225" s="3" t="s">
        <v>10</v>
      </c>
      <c r="E225" s="3" t="s">
        <v>293</v>
      </c>
      <c r="F225" s="3" t="s">
        <v>12</v>
      </c>
      <c r="G225" s="3" t="s">
        <v>187</v>
      </c>
    </row>
    <row r="226" customFormat="false" ht="15" hidden="false" customHeight="true" outlineLevel="0" collapsed="false">
      <c r="A226" s="3" t="s">
        <v>280</v>
      </c>
      <c r="B226" s="3" t="s">
        <v>294</v>
      </c>
      <c r="C226" s="3" t="s">
        <v>282</v>
      </c>
      <c r="D226" s="3" t="s">
        <v>10</v>
      </c>
      <c r="E226" s="3" t="s">
        <v>295</v>
      </c>
      <c r="F226" s="3" t="s">
        <v>12</v>
      </c>
      <c r="G226" s="3" t="s">
        <v>187</v>
      </c>
    </row>
    <row r="227" customFormat="false" ht="15" hidden="false" customHeight="true" outlineLevel="0" collapsed="false">
      <c r="A227" s="3" t="s">
        <v>280</v>
      </c>
      <c r="B227" s="3" t="s">
        <v>281</v>
      </c>
      <c r="C227" s="3" t="s">
        <v>282</v>
      </c>
      <c r="D227" s="3" t="s">
        <v>10</v>
      </c>
      <c r="E227" s="3" t="s">
        <v>296</v>
      </c>
      <c r="F227" s="3" t="s">
        <v>12</v>
      </c>
      <c r="G227" s="3" t="s">
        <v>187</v>
      </c>
    </row>
    <row r="228" customFormat="false" ht="15" hidden="false" customHeight="true" outlineLevel="0" collapsed="false">
      <c r="A228" s="3" t="s">
        <v>280</v>
      </c>
      <c r="B228" s="3" t="s">
        <v>284</v>
      </c>
      <c r="C228" s="3" t="s">
        <v>282</v>
      </c>
      <c r="D228" s="3" t="s">
        <v>10</v>
      </c>
      <c r="E228" s="3" t="s">
        <v>297</v>
      </c>
      <c r="F228" s="3" t="s">
        <v>12</v>
      </c>
      <c r="G228" s="3" t="s">
        <v>187</v>
      </c>
    </row>
    <row r="229" customFormat="false" ht="15" hidden="false" customHeight="true" outlineLevel="0" collapsed="false">
      <c r="A229" s="3" t="s">
        <v>280</v>
      </c>
      <c r="B229" s="3" t="s">
        <v>286</v>
      </c>
      <c r="C229" s="3" t="s">
        <v>282</v>
      </c>
      <c r="D229" s="3" t="s">
        <v>10</v>
      </c>
      <c r="E229" s="3" t="s">
        <v>298</v>
      </c>
      <c r="F229" s="3" t="s">
        <v>12</v>
      </c>
      <c r="G229" s="3" t="s">
        <v>187</v>
      </c>
    </row>
    <row r="230" customFormat="false" ht="15" hidden="false" customHeight="true" outlineLevel="0" collapsed="false">
      <c r="A230" s="3" t="s">
        <v>280</v>
      </c>
      <c r="B230" s="3" t="s">
        <v>288</v>
      </c>
      <c r="C230" s="3" t="s">
        <v>282</v>
      </c>
      <c r="D230" s="3" t="s">
        <v>10</v>
      </c>
      <c r="E230" s="3" t="s">
        <v>299</v>
      </c>
      <c r="F230" s="3" t="s">
        <v>12</v>
      </c>
      <c r="G230" s="3" t="s">
        <v>187</v>
      </c>
    </row>
    <row r="231" customFormat="false" ht="15" hidden="false" customHeight="true" outlineLevel="0" collapsed="false">
      <c r="A231" s="3" t="s">
        <v>280</v>
      </c>
      <c r="B231" s="3" t="s">
        <v>290</v>
      </c>
      <c r="C231" s="3" t="s">
        <v>282</v>
      </c>
      <c r="D231" s="3" t="s">
        <v>10</v>
      </c>
      <c r="E231" s="3" t="s">
        <v>300</v>
      </c>
      <c r="F231" s="3" t="s">
        <v>12</v>
      </c>
      <c r="G231" s="3" t="s">
        <v>187</v>
      </c>
    </row>
    <row r="232" customFormat="false" ht="15" hidden="false" customHeight="true" outlineLevel="0" collapsed="false">
      <c r="A232" s="3" t="s">
        <v>280</v>
      </c>
      <c r="B232" s="3" t="s">
        <v>292</v>
      </c>
      <c r="C232" s="3" t="s">
        <v>282</v>
      </c>
      <c r="D232" s="3" t="s">
        <v>10</v>
      </c>
      <c r="E232" s="3" t="s">
        <v>301</v>
      </c>
      <c r="F232" s="3" t="s">
        <v>12</v>
      </c>
      <c r="G232" s="3" t="s">
        <v>187</v>
      </c>
    </row>
    <row r="233" customFormat="false" ht="15" hidden="false" customHeight="true" outlineLevel="0" collapsed="false">
      <c r="A233" s="3" t="s">
        <v>280</v>
      </c>
      <c r="B233" s="3" t="s">
        <v>294</v>
      </c>
      <c r="C233" s="3" t="s">
        <v>282</v>
      </c>
      <c r="D233" s="3" t="s">
        <v>10</v>
      </c>
      <c r="E233" s="3" t="s">
        <v>302</v>
      </c>
      <c r="F233" s="3" t="s">
        <v>12</v>
      </c>
      <c r="G233" s="3" t="s">
        <v>187</v>
      </c>
    </row>
    <row r="234" customFormat="false" ht="15" hidden="false" customHeight="true" outlineLevel="0" collapsed="false">
      <c r="A234" s="3" t="s">
        <v>280</v>
      </c>
      <c r="B234" s="3" t="s">
        <v>281</v>
      </c>
      <c r="C234" s="3" t="s">
        <v>282</v>
      </c>
      <c r="D234" s="3" t="s">
        <v>10</v>
      </c>
      <c r="E234" s="3" t="s">
        <v>303</v>
      </c>
      <c r="F234" s="3" t="s">
        <v>12</v>
      </c>
      <c r="G234" s="3" t="s">
        <v>187</v>
      </c>
    </row>
    <row r="235" customFormat="false" ht="15" hidden="false" customHeight="true" outlineLevel="0" collapsed="false">
      <c r="A235" s="3" t="s">
        <v>280</v>
      </c>
      <c r="B235" s="3" t="s">
        <v>284</v>
      </c>
      <c r="C235" s="3" t="s">
        <v>282</v>
      </c>
      <c r="D235" s="3" t="s">
        <v>10</v>
      </c>
      <c r="E235" s="3" t="s">
        <v>304</v>
      </c>
      <c r="F235" s="3" t="s">
        <v>12</v>
      </c>
      <c r="G235" s="3" t="s">
        <v>187</v>
      </c>
    </row>
    <row r="236" customFormat="false" ht="15" hidden="false" customHeight="true" outlineLevel="0" collapsed="false">
      <c r="A236" s="3" t="s">
        <v>280</v>
      </c>
      <c r="B236" s="3" t="s">
        <v>286</v>
      </c>
      <c r="C236" s="3" t="s">
        <v>282</v>
      </c>
      <c r="D236" s="3" t="s">
        <v>10</v>
      </c>
      <c r="E236" s="3" t="s">
        <v>305</v>
      </c>
      <c r="F236" s="3" t="s">
        <v>12</v>
      </c>
      <c r="G236" s="3" t="s">
        <v>187</v>
      </c>
    </row>
    <row r="237" customFormat="false" ht="15" hidden="false" customHeight="true" outlineLevel="0" collapsed="false">
      <c r="A237" s="3" t="s">
        <v>280</v>
      </c>
      <c r="B237" s="3" t="s">
        <v>288</v>
      </c>
      <c r="C237" s="3" t="s">
        <v>282</v>
      </c>
      <c r="D237" s="3" t="s">
        <v>10</v>
      </c>
      <c r="E237" s="3" t="s">
        <v>306</v>
      </c>
      <c r="F237" s="3" t="s">
        <v>12</v>
      </c>
      <c r="G237" s="3" t="s">
        <v>187</v>
      </c>
    </row>
    <row r="238" customFormat="false" ht="15" hidden="false" customHeight="true" outlineLevel="0" collapsed="false">
      <c r="A238" s="3" t="s">
        <v>280</v>
      </c>
      <c r="B238" s="3" t="s">
        <v>290</v>
      </c>
      <c r="C238" s="3" t="s">
        <v>282</v>
      </c>
      <c r="D238" s="3" t="s">
        <v>10</v>
      </c>
      <c r="E238" s="3" t="s">
        <v>307</v>
      </c>
      <c r="F238" s="3" t="s">
        <v>12</v>
      </c>
      <c r="G238" s="3" t="s">
        <v>187</v>
      </c>
    </row>
    <row r="239" customFormat="false" ht="15" hidden="false" customHeight="true" outlineLevel="0" collapsed="false">
      <c r="A239" s="3" t="s">
        <v>280</v>
      </c>
      <c r="B239" s="3" t="s">
        <v>292</v>
      </c>
      <c r="C239" s="3" t="s">
        <v>282</v>
      </c>
      <c r="D239" s="3" t="s">
        <v>10</v>
      </c>
      <c r="E239" s="3" t="s">
        <v>308</v>
      </c>
      <c r="F239" s="3" t="s">
        <v>12</v>
      </c>
      <c r="G239" s="3" t="s">
        <v>187</v>
      </c>
    </row>
    <row r="240" customFormat="false" ht="15" hidden="false" customHeight="true" outlineLevel="0" collapsed="false">
      <c r="A240" s="3" t="s">
        <v>280</v>
      </c>
      <c r="B240" s="3" t="s">
        <v>294</v>
      </c>
      <c r="C240" s="3" t="s">
        <v>282</v>
      </c>
      <c r="D240" s="3" t="s">
        <v>10</v>
      </c>
      <c r="E240" s="3" t="s">
        <v>309</v>
      </c>
      <c r="F240" s="3" t="s">
        <v>12</v>
      </c>
      <c r="G240" s="3" t="s">
        <v>187</v>
      </c>
    </row>
    <row r="241" customFormat="false" ht="15" hidden="false" customHeight="true" outlineLevel="0" collapsed="false">
      <c r="A241" s="3" t="s">
        <v>280</v>
      </c>
      <c r="B241" s="3" t="s">
        <v>281</v>
      </c>
      <c r="C241" s="3" t="s">
        <v>282</v>
      </c>
      <c r="D241" s="3" t="s">
        <v>10</v>
      </c>
      <c r="E241" s="3" t="s">
        <v>310</v>
      </c>
      <c r="F241" s="3" t="s">
        <v>12</v>
      </c>
      <c r="G241" s="3" t="s">
        <v>187</v>
      </c>
    </row>
    <row r="242" customFormat="false" ht="15" hidden="false" customHeight="true" outlineLevel="0" collapsed="false">
      <c r="A242" s="3" t="s">
        <v>280</v>
      </c>
      <c r="B242" s="3" t="s">
        <v>284</v>
      </c>
      <c r="C242" s="3" t="s">
        <v>282</v>
      </c>
      <c r="D242" s="3" t="s">
        <v>10</v>
      </c>
      <c r="E242" s="3" t="s">
        <v>311</v>
      </c>
      <c r="F242" s="3" t="s">
        <v>12</v>
      </c>
      <c r="G242" s="3" t="s">
        <v>187</v>
      </c>
    </row>
    <row r="243" customFormat="false" ht="15" hidden="false" customHeight="true" outlineLevel="0" collapsed="false">
      <c r="A243" s="3" t="s">
        <v>280</v>
      </c>
      <c r="B243" s="3" t="s">
        <v>286</v>
      </c>
      <c r="C243" s="3" t="s">
        <v>282</v>
      </c>
      <c r="D243" s="3" t="s">
        <v>10</v>
      </c>
      <c r="E243" s="3" t="s">
        <v>312</v>
      </c>
      <c r="F243" s="3" t="s">
        <v>12</v>
      </c>
      <c r="G243" s="3" t="s">
        <v>187</v>
      </c>
    </row>
    <row r="244" customFormat="false" ht="15" hidden="false" customHeight="true" outlineLevel="0" collapsed="false">
      <c r="A244" s="3" t="s">
        <v>280</v>
      </c>
      <c r="B244" s="3" t="s">
        <v>288</v>
      </c>
      <c r="C244" s="3" t="s">
        <v>282</v>
      </c>
      <c r="D244" s="3" t="s">
        <v>10</v>
      </c>
      <c r="E244" s="3" t="s">
        <v>313</v>
      </c>
      <c r="F244" s="3" t="s">
        <v>12</v>
      </c>
      <c r="G244" s="3" t="s">
        <v>187</v>
      </c>
    </row>
    <row r="245" customFormat="false" ht="15" hidden="false" customHeight="true" outlineLevel="0" collapsed="false">
      <c r="A245" s="3" t="s">
        <v>280</v>
      </c>
      <c r="B245" s="3" t="s">
        <v>290</v>
      </c>
      <c r="C245" s="3" t="s">
        <v>282</v>
      </c>
      <c r="D245" s="3" t="s">
        <v>10</v>
      </c>
      <c r="E245" s="3" t="s">
        <v>314</v>
      </c>
      <c r="F245" s="3" t="s">
        <v>12</v>
      </c>
      <c r="G245" s="3" t="s">
        <v>187</v>
      </c>
    </row>
    <row r="246" customFormat="false" ht="15" hidden="false" customHeight="true" outlineLevel="0" collapsed="false">
      <c r="A246" s="3" t="s">
        <v>280</v>
      </c>
      <c r="B246" s="3" t="s">
        <v>292</v>
      </c>
      <c r="C246" s="3" t="s">
        <v>282</v>
      </c>
      <c r="D246" s="3" t="s">
        <v>10</v>
      </c>
      <c r="E246" s="3" t="s">
        <v>315</v>
      </c>
      <c r="F246" s="3" t="s">
        <v>12</v>
      </c>
      <c r="G246" s="3" t="s">
        <v>187</v>
      </c>
    </row>
    <row r="247" customFormat="false" ht="15" hidden="false" customHeight="true" outlineLevel="0" collapsed="false">
      <c r="A247" s="3" t="s">
        <v>280</v>
      </c>
      <c r="B247" s="3" t="s">
        <v>294</v>
      </c>
      <c r="C247" s="3" t="s">
        <v>282</v>
      </c>
      <c r="D247" s="3" t="s">
        <v>10</v>
      </c>
      <c r="E247" s="3" t="s">
        <v>316</v>
      </c>
      <c r="F247" s="3" t="s">
        <v>12</v>
      </c>
      <c r="G247" s="3" t="s">
        <v>187</v>
      </c>
    </row>
    <row r="248" customFormat="false" ht="15" hidden="false" customHeight="true" outlineLevel="0" collapsed="false">
      <c r="A248" s="3" t="s">
        <v>280</v>
      </c>
      <c r="B248" s="3" t="s">
        <v>281</v>
      </c>
      <c r="C248" s="3" t="s">
        <v>282</v>
      </c>
      <c r="D248" s="3" t="s">
        <v>10</v>
      </c>
      <c r="E248" s="3" t="s">
        <v>317</v>
      </c>
      <c r="F248" s="3" t="s">
        <v>12</v>
      </c>
      <c r="G248" s="3" t="s">
        <v>187</v>
      </c>
    </row>
    <row r="249" customFormat="false" ht="15" hidden="false" customHeight="true" outlineLevel="0" collapsed="false">
      <c r="A249" s="3" t="s">
        <v>280</v>
      </c>
      <c r="B249" s="3" t="s">
        <v>284</v>
      </c>
      <c r="C249" s="3" t="s">
        <v>282</v>
      </c>
      <c r="D249" s="3" t="s">
        <v>10</v>
      </c>
      <c r="E249" s="3" t="s">
        <v>318</v>
      </c>
      <c r="F249" s="3" t="s">
        <v>12</v>
      </c>
      <c r="G249" s="3" t="s">
        <v>187</v>
      </c>
    </row>
    <row r="250" customFormat="false" ht="15" hidden="false" customHeight="true" outlineLevel="0" collapsed="false">
      <c r="A250" s="3" t="s">
        <v>280</v>
      </c>
      <c r="B250" s="3" t="s">
        <v>286</v>
      </c>
      <c r="C250" s="3" t="s">
        <v>282</v>
      </c>
      <c r="D250" s="3" t="s">
        <v>10</v>
      </c>
      <c r="E250" s="3" t="s">
        <v>319</v>
      </c>
      <c r="F250" s="3" t="s">
        <v>12</v>
      </c>
      <c r="G250" s="3" t="s">
        <v>187</v>
      </c>
    </row>
    <row r="251" customFormat="false" ht="15" hidden="false" customHeight="true" outlineLevel="0" collapsed="false">
      <c r="A251" s="3" t="s">
        <v>280</v>
      </c>
      <c r="B251" s="3" t="s">
        <v>288</v>
      </c>
      <c r="C251" s="3" t="s">
        <v>282</v>
      </c>
      <c r="D251" s="3" t="s">
        <v>10</v>
      </c>
      <c r="E251" s="3" t="s">
        <v>320</v>
      </c>
      <c r="F251" s="3" t="s">
        <v>12</v>
      </c>
      <c r="G251" s="3" t="s">
        <v>187</v>
      </c>
    </row>
    <row r="252" customFormat="false" ht="15" hidden="false" customHeight="true" outlineLevel="0" collapsed="false">
      <c r="A252" s="3" t="s">
        <v>280</v>
      </c>
      <c r="B252" s="3" t="s">
        <v>290</v>
      </c>
      <c r="C252" s="3" t="s">
        <v>282</v>
      </c>
      <c r="D252" s="3" t="s">
        <v>10</v>
      </c>
      <c r="E252" s="3" t="s">
        <v>321</v>
      </c>
      <c r="F252" s="3" t="s">
        <v>12</v>
      </c>
      <c r="G252" s="3" t="s">
        <v>187</v>
      </c>
    </row>
    <row r="253" customFormat="false" ht="15" hidden="false" customHeight="true" outlineLevel="0" collapsed="false">
      <c r="A253" s="3" t="s">
        <v>280</v>
      </c>
      <c r="B253" s="3" t="s">
        <v>292</v>
      </c>
      <c r="C253" s="3" t="s">
        <v>282</v>
      </c>
      <c r="D253" s="3" t="s">
        <v>10</v>
      </c>
      <c r="E253" s="3" t="s">
        <v>322</v>
      </c>
      <c r="F253" s="3" t="s">
        <v>12</v>
      </c>
      <c r="G253" s="3" t="s">
        <v>187</v>
      </c>
    </row>
    <row r="254" customFormat="false" ht="15" hidden="false" customHeight="true" outlineLevel="0" collapsed="false">
      <c r="A254" s="3" t="s">
        <v>280</v>
      </c>
      <c r="B254" s="3" t="s">
        <v>294</v>
      </c>
      <c r="C254" s="3" t="s">
        <v>282</v>
      </c>
      <c r="D254" s="3" t="s">
        <v>10</v>
      </c>
      <c r="E254" s="3" t="s">
        <v>323</v>
      </c>
      <c r="F254" s="3" t="s">
        <v>12</v>
      </c>
      <c r="G254" s="3" t="s">
        <v>187</v>
      </c>
    </row>
    <row r="255" customFormat="false" ht="15" hidden="false" customHeight="true" outlineLevel="0" collapsed="false">
      <c r="A255" s="3" t="s">
        <v>280</v>
      </c>
      <c r="B255" s="3" t="s">
        <v>281</v>
      </c>
      <c r="C255" s="3" t="s">
        <v>282</v>
      </c>
      <c r="D255" s="3" t="s">
        <v>10</v>
      </c>
      <c r="E255" s="3" t="s">
        <v>324</v>
      </c>
      <c r="F255" s="3" t="s">
        <v>12</v>
      </c>
      <c r="G255" s="3" t="s">
        <v>187</v>
      </c>
    </row>
    <row r="256" customFormat="false" ht="15" hidden="false" customHeight="true" outlineLevel="0" collapsed="false">
      <c r="A256" s="3" t="s">
        <v>280</v>
      </c>
      <c r="B256" s="3" t="s">
        <v>284</v>
      </c>
      <c r="C256" s="3" t="s">
        <v>282</v>
      </c>
      <c r="D256" s="3" t="s">
        <v>10</v>
      </c>
      <c r="E256" s="3" t="s">
        <v>325</v>
      </c>
      <c r="F256" s="3" t="s">
        <v>12</v>
      </c>
      <c r="G256" s="3" t="s">
        <v>187</v>
      </c>
    </row>
    <row r="257" customFormat="false" ht="15" hidden="false" customHeight="true" outlineLevel="0" collapsed="false">
      <c r="A257" s="3" t="s">
        <v>280</v>
      </c>
      <c r="B257" s="3" t="s">
        <v>286</v>
      </c>
      <c r="C257" s="3" t="s">
        <v>282</v>
      </c>
      <c r="D257" s="3" t="s">
        <v>10</v>
      </c>
      <c r="E257" s="3" t="s">
        <v>326</v>
      </c>
      <c r="F257" s="3" t="s">
        <v>12</v>
      </c>
      <c r="G257" s="3" t="s">
        <v>187</v>
      </c>
    </row>
    <row r="258" customFormat="false" ht="15" hidden="false" customHeight="true" outlineLevel="0" collapsed="false">
      <c r="A258" s="3" t="s">
        <v>280</v>
      </c>
      <c r="B258" s="3" t="s">
        <v>288</v>
      </c>
      <c r="C258" s="3" t="s">
        <v>282</v>
      </c>
      <c r="D258" s="3" t="s">
        <v>10</v>
      </c>
      <c r="E258" s="3" t="s">
        <v>327</v>
      </c>
      <c r="F258" s="3" t="s">
        <v>12</v>
      </c>
      <c r="G258" s="3" t="s">
        <v>187</v>
      </c>
    </row>
    <row r="259" customFormat="false" ht="15" hidden="false" customHeight="true" outlineLevel="0" collapsed="false">
      <c r="A259" s="3" t="s">
        <v>280</v>
      </c>
      <c r="B259" s="3" t="s">
        <v>290</v>
      </c>
      <c r="C259" s="3" t="s">
        <v>282</v>
      </c>
      <c r="D259" s="3" t="s">
        <v>10</v>
      </c>
      <c r="E259" s="3" t="s">
        <v>328</v>
      </c>
      <c r="F259" s="3" t="s">
        <v>12</v>
      </c>
      <c r="G259" s="3" t="s">
        <v>187</v>
      </c>
    </row>
    <row r="260" customFormat="false" ht="15" hidden="false" customHeight="true" outlineLevel="0" collapsed="false">
      <c r="A260" s="3" t="s">
        <v>280</v>
      </c>
      <c r="B260" s="3" t="s">
        <v>292</v>
      </c>
      <c r="C260" s="3" t="s">
        <v>282</v>
      </c>
      <c r="D260" s="3" t="s">
        <v>10</v>
      </c>
      <c r="E260" s="3" t="s">
        <v>329</v>
      </c>
      <c r="F260" s="3" t="s">
        <v>12</v>
      </c>
      <c r="G260" s="3" t="s">
        <v>187</v>
      </c>
    </row>
    <row r="261" customFormat="false" ht="15" hidden="false" customHeight="true" outlineLevel="0" collapsed="false">
      <c r="A261" s="3" t="s">
        <v>280</v>
      </c>
      <c r="B261" s="3" t="s">
        <v>294</v>
      </c>
      <c r="C261" s="3" t="s">
        <v>282</v>
      </c>
      <c r="D261" s="3" t="s">
        <v>10</v>
      </c>
      <c r="E261" s="3" t="s">
        <v>330</v>
      </c>
      <c r="F261" s="3" t="s">
        <v>12</v>
      </c>
      <c r="G261" s="3" t="s">
        <v>187</v>
      </c>
    </row>
    <row r="262" customFormat="false" ht="15" hidden="false" customHeight="true" outlineLevel="0" collapsed="false">
      <c r="A262" s="3" t="s">
        <v>280</v>
      </c>
      <c r="B262" s="3" t="s">
        <v>281</v>
      </c>
      <c r="C262" s="3" t="s">
        <v>282</v>
      </c>
      <c r="D262" s="3" t="s">
        <v>10</v>
      </c>
      <c r="E262" s="3" t="s">
        <v>331</v>
      </c>
      <c r="F262" s="3" t="s">
        <v>12</v>
      </c>
      <c r="G262" s="3" t="s">
        <v>187</v>
      </c>
    </row>
    <row r="263" customFormat="false" ht="15" hidden="false" customHeight="true" outlineLevel="0" collapsed="false">
      <c r="A263" s="3" t="s">
        <v>280</v>
      </c>
      <c r="B263" s="3" t="s">
        <v>284</v>
      </c>
      <c r="C263" s="3" t="s">
        <v>282</v>
      </c>
      <c r="D263" s="3" t="s">
        <v>10</v>
      </c>
      <c r="E263" s="3" t="s">
        <v>332</v>
      </c>
      <c r="F263" s="3" t="s">
        <v>12</v>
      </c>
      <c r="G263" s="3" t="s">
        <v>187</v>
      </c>
    </row>
    <row r="264" customFormat="false" ht="15" hidden="false" customHeight="true" outlineLevel="0" collapsed="false">
      <c r="A264" s="3" t="s">
        <v>280</v>
      </c>
      <c r="B264" s="3" t="s">
        <v>286</v>
      </c>
      <c r="C264" s="3" t="s">
        <v>282</v>
      </c>
      <c r="D264" s="3" t="s">
        <v>10</v>
      </c>
      <c r="E264" s="3" t="s">
        <v>333</v>
      </c>
      <c r="F264" s="3" t="s">
        <v>12</v>
      </c>
      <c r="G264" s="3" t="s">
        <v>187</v>
      </c>
    </row>
    <row r="265" customFormat="false" ht="15" hidden="false" customHeight="true" outlineLevel="0" collapsed="false">
      <c r="A265" s="3" t="s">
        <v>280</v>
      </c>
      <c r="B265" s="3" t="s">
        <v>288</v>
      </c>
      <c r="C265" s="3" t="s">
        <v>282</v>
      </c>
      <c r="D265" s="3" t="s">
        <v>10</v>
      </c>
      <c r="E265" s="3" t="s">
        <v>334</v>
      </c>
      <c r="F265" s="3" t="s">
        <v>12</v>
      </c>
      <c r="G265" s="3" t="s">
        <v>187</v>
      </c>
    </row>
    <row r="266" customFormat="false" ht="15" hidden="false" customHeight="true" outlineLevel="0" collapsed="false">
      <c r="A266" s="3" t="s">
        <v>280</v>
      </c>
      <c r="B266" s="3" t="s">
        <v>290</v>
      </c>
      <c r="C266" s="3" t="s">
        <v>282</v>
      </c>
      <c r="D266" s="3" t="s">
        <v>10</v>
      </c>
      <c r="E266" s="3" t="s">
        <v>335</v>
      </c>
      <c r="F266" s="3" t="s">
        <v>12</v>
      </c>
      <c r="G266" s="3" t="s">
        <v>187</v>
      </c>
    </row>
    <row r="267" customFormat="false" ht="15" hidden="false" customHeight="true" outlineLevel="0" collapsed="false">
      <c r="A267" s="3" t="s">
        <v>280</v>
      </c>
      <c r="B267" s="3" t="s">
        <v>292</v>
      </c>
      <c r="C267" s="3" t="s">
        <v>282</v>
      </c>
      <c r="D267" s="3" t="s">
        <v>10</v>
      </c>
      <c r="E267" s="3" t="s">
        <v>336</v>
      </c>
      <c r="F267" s="3" t="s">
        <v>12</v>
      </c>
      <c r="G267" s="3" t="s">
        <v>187</v>
      </c>
    </row>
    <row r="268" customFormat="false" ht="15" hidden="false" customHeight="true" outlineLevel="0" collapsed="false">
      <c r="A268" s="3" t="s">
        <v>280</v>
      </c>
      <c r="B268" s="3" t="s">
        <v>294</v>
      </c>
      <c r="C268" s="3" t="s">
        <v>282</v>
      </c>
      <c r="D268" s="3" t="s">
        <v>10</v>
      </c>
      <c r="E268" s="3" t="s">
        <v>337</v>
      </c>
      <c r="F268" s="3" t="s">
        <v>12</v>
      </c>
      <c r="G268" s="3" t="s">
        <v>187</v>
      </c>
    </row>
    <row r="269" customFormat="false" ht="15" hidden="false" customHeight="true" outlineLevel="0" collapsed="false">
      <c r="A269" s="3" t="s">
        <v>280</v>
      </c>
      <c r="B269" s="3" t="s">
        <v>281</v>
      </c>
      <c r="C269" s="3" t="s">
        <v>282</v>
      </c>
      <c r="D269" s="3" t="s">
        <v>10</v>
      </c>
      <c r="E269" s="3" t="s">
        <v>338</v>
      </c>
      <c r="F269" s="3" t="s">
        <v>12</v>
      </c>
      <c r="G269" s="3" t="s">
        <v>187</v>
      </c>
    </row>
    <row r="270" customFormat="false" ht="15" hidden="false" customHeight="true" outlineLevel="0" collapsed="false">
      <c r="A270" s="3" t="s">
        <v>280</v>
      </c>
      <c r="B270" s="3" t="s">
        <v>284</v>
      </c>
      <c r="C270" s="3" t="s">
        <v>282</v>
      </c>
      <c r="D270" s="3" t="s">
        <v>10</v>
      </c>
      <c r="E270" s="3" t="s">
        <v>339</v>
      </c>
      <c r="F270" s="3" t="s">
        <v>12</v>
      </c>
      <c r="G270" s="3" t="s">
        <v>187</v>
      </c>
    </row>
    <row r="271" customFormat="false" ht="15" hidden="false" customHeight="true" outlineLevel="0" collapsed="false">
      <c r="A271" s="3" t="s">
        <v>280</v>
      </c>
      <c r="B271" s="3" t="s">
        <v>286</v>
      </c>
      <c r="C271" s="3" t="s">
        <v>282</v>
      </c>
      <c r="D271" s="3" t="s">
        <v>10</v>
      </c>
      <c r="E271" s="3" t="s">
        <v>340</v>
      </c>
      <c r="F271" s="3" t="s">
        <v>12</v>
      </c>
      <c r="G271" s="3" t="s">
        <v>187</v>
      </c>
    </row>
    <row r="272" customFormat="false" ht="15" hidden="false" customHeight="true" outlineLevel="0" collapsed="false">
      <c r="A272" s="3" t="s">
        <v>280</v>
      </c>
      <c r="B272" s="3" t="s">
        <v>288</v>
      </c>
      <c r="C272" s="3" t="s">
        <v>282</v>
      </c>
      <c r="D272" s="3" t="s">
        <v>10</v>
      </c>
      <c r="E272" s="3" t="s">
        <v>341</v>
      </c>
      <c r="F272" s="3" t="s">
        <v>12</v>
      </c>
      <c r="G272" s="3" t="s">
        <v>187</v>
      </c>
    </row>
    <row r="273" customFormat="false" ht="15" hidden="false" customHeight="true" outlineLevel="0" collapsed="false">
      <c r="A273" s="3" t="s">
        <v>280</v>
      </c>
      <c r="B273" s="3" t="s">
        <v>290</v>
      </c>
      <c r="C273" s="3" t="s">
        <v>282</v>
      </c>
      <c r="D273" s="3" t="s">
        <v>10</v>
      </c>
      <c r="E273" s="3" t="s">
        <v>342</v>
      </c>
      <c r="F273" s="3" t="s">
        <v>12</v>
      </c>
      <c r="G273" s="3" t="s">
        <v>187</v>
      </c>
    </row>
    <row r="274" customFormat="false" ht="15" hidden="false" customHeight="true" outlineLevel="0" collapsed="false">
      <c r="A274" s="3" t="s">
        <v>280</v>
      </c>
      <c r="B274" s="3" t="s">
        <v>292</v>
      </c>
      <c r="C274" s="3" t="s">
        <v>282</v>
      </c>
      <c r="D274" s="3" t="s">
        <v>10</v>
      </c>
      <c r="E274" s="3" t="s">
        <v>343</v>
      </c>
      <c r="F274" s="3" t="s">
        <v>12</v>
      </c>
      <c r="G274" s="3" t="s">
        <v>187</v>
      </c>
    </row>
    <row r="275" customFormat="false" ht="15" hidden="false" customHeight="true" outlineLevel="0" collapsed="false">
      <c r="A275" s="3" t="s">
        <v>280</v>
      </c>
      <c r="B275" s="3" t="s">
        <v>294</v>
      </c>
      <c r="C275" s="3" t="s">
        <v>282</v>
      </c>
      <c r="D275" s="3" t="s">
        <v>10</v>
      </c>
      <c r="E275" s="3" t="s">
        <v>344</v>
      </c>
      <c r="F275" s="3" t="s">
        <v>12</v>
      </c>
      <c r="G275" s="3" t="s">
        <v>187</v>
      </c>
    </row>
    <row r="276" customFormat="false" ht="15" hidden="false" customHeight="true" outlineLevel="0" collapsed="false">
      <c r="A276" s="3" t="s">
        <v>280</v>
      </c>
      <c r="B276" s="3" t="s">
        <v>281</v>
      </c>
      <c r="C276" s="3" t="s">
        <v>282</v>
      </c>
      <c r="D276" s="3" t="s">
        <v>10</v>
      </c>
      <c r="E276" s="3" t="s">
        <v>345</v>
      </c>
      <c r="F276" s="3" t="s">
        <v>12</v>
      </c>
      <c r="G276" s="3" t="s">
        <v>187</v>
      </c>
    </row>
    <row r="277" customFormat="false" ht="15" hidden="false" customHeight="true" outlineLevel="0" collapsed="false">
      <c r="A277" s="3" t="s">
        <v>280</v>
      </c>
      <c r="B277" s="3" t="s">
        <v>284</v>
      </c>
      <c r="C277" s="3" t="s">
        <v>282</v>
      </c>
      <c r="D277" s="3" t="s">
        <v>10</v>
      </c>
      <c r="E277" s="3" t="s">
        <v>346</v>
      </c>
      <c r="F277" s="3" t="s">
        <v>12</v>
      </c>
      <c r="G277" s="3" t="s">
        <v>187</v>
      </c>
    </row>
    <row r="278" customFormat="false" ht="15" hidden="false" customHeight="true" outlineLevel="0" collapsed="false">
      <c r="A278" s="3" t="s">
        <v>280</v>
      </c>
      <c r="B278" s="3" t="s">
        <v>286</v>
      </c>
      <c r="C278" s="3" t="s">
        <v>282</v>
      </c>
      <c r="D278" s="3" t="s">
        <v>10</v>
      </c>
      <c r="E278" s="3" t="s">
        <v>347</v>
      </c>
      <c r="F278" s="3" t="s">
        <v>12</v>
      </c>
      <c r="G278" s="3" t="s">
        <v>187</v>
      </c>
    </row>
    <row r="279" customFormat="false" ht="15" hidden="false" customHeight="true" outlineLevel="0" collapsed="false">
      <c r="A279" s="3" t="s">
        <v>280</v>
      </c>
      <c r="B279" s="3" t="s">
        <v>288</v>
      </c>
      <c r="C279" s="3" t="s">
        <v>282</v>
      </c>
      <c r="D279" s="3" t="s">
        <v>10</v>
      </c>
      <c r="E279" s="3" t="s">
        <v>348</v>
      </c>
      <c r="F279" s="3" t="s">
        <v>12</v>
      </c>
      <c r="G279" s="3" t="s">
        <v>187</v>
      </c>
    </row>
    <row r="280" customFormat="false" ht="15" hidden="false" customHeight="true" outlineLevel="0" collapsed="false">
      <c r="A280" s="3" t="s">
        <v>280</v>
      </c>
      <c r="B280" s="3" t="s">
        <v>290</v>
      </c>
      <c r="C280" s="3" t="s">
        <v>282</v>
      </c>
      <c r="D280" s="3" t="s">
        <v>10</v>
      </c>
      <c r="E280" s="3" t="s">
        <v>349</v>
      </c>
      <c r="F280" s="3" t="s">
        <v>12</v>
      </c>
      <c r="G280" s="3" t="s">
        <v>187</v>
      </c>
    </row>
    <row r="281" customFormat="false" ht="15" hidden="false" customHeight="true" outlineLevel="0" collapsed="false">
      <c r="A281" s="3" t="s">
        <v>280</v>
      </c>
      <c r="B281" s="3" t="s">
        <v>292</v>
      </c>
      <c r="C281" s="3" t="s">
        <v>282</v>
      </c>
      <c r="D281" s="3" t="s">
        <v>10</v>
      </c>
      <c r="E281" s="3" t="s">
        <v>350</v>
      </c>
      <c r="F281" s="3" t="s">
        <v>12</v>
      </c>
      <c r="G281" s="3" t="s">
        <v>187</v>
      </c>
    </row>
    <row r="282" customFormat="false" ht="15" hidden="false" customHeight="true" outlineLevel="0" collapsed="false">
      <c r="A282" s="3" t="s">
        <v>280</v>
      </c>
      <c r="B282" s="3" t="s">
        <v>294</v>
      </c>
      <c r="C282" s="3" t="s">
        <v>282</v>
      </c>
      <c r="D282" s="3" t="s">
        <v>10</v>
      </c>
      <c r="E282" s="3" t="s">
        <v>351</v>
      </c>
      <c r="F282" s="3" t="s">
        <v>12</v>
      </c>
      <c r="G282" s="3" t="s">
        <v>187</v>
      </c>
    </row>
    <row r="283" customFormat="false" ht="15" hidden="false" customHeight="true" outlineLevel="0" collapsed="false">
      <c r="A283" s="3" t="s">
        <v>280</v>
      </c>
      <c r="B283" s="3" t="s">
        <v>281</v>
      </c>
      <c r="C283" s="3" t="s">
        <v>282</v>
      </c>
      <c r="D283" s="3" t="s">
        <v>10</v>
      </c>
      <c r="E283" s="3" t="s">
        <v>352</v>
      </c>
      <c r="F283" s="3" t="s">
        <v>12</v>
      </c>
      <c r="G283" s="3" t="s">
        <v>187</v>
      </c>
    </row>
    <row r="284" customFormat="false" ht="15" hidden="false" customHeight="true" outlineLevel="0" collapsed="false">
      <c r="A284" s="3" t="s">
        <v>280</v>
      </c>
      <c r="B284" s="3" t="s">
        <v>284</v>
      </c>
      <c r="C284" s="3" t="s">
        <v>282</v>
      </c>
      <c r="D284" s="3" t="s">
        <v>10</v>
      </c>
      <c r="E284" s="3" t="s">
        <v>353</v>
      </c>
      <c r="F284" s="3" t="s">
        <v>12</v>
      </c>
      <c r="G284" s="3" t="s">
        <v>187</v>
      </c>
    </row>
    <row r="285" customFormat="false" ht="15" hidden="false" customHeight="true" outlineLevel="0" collapsed="false">
      <c r="A285" s="3" t="s">
        <v>280</v>
      </c>
      <c r="B285" s="3" t="s">
        <v>286</v>
      </c>
      <c r="C285" s="3" t="s">
        <v>282</v>
      </c>
      <c r="D285" s="3" t="s">
        <v>10</v>
      </c>
      <c r="E285" s="3" t="s">
        <v>354</v>
      </c>
      <c r="F285" s="3" t="s">
        <v>12</v>
      </c>
      <c r="G285" s="3" t="s">
        <v>187</v>
      </c>
    </row>
    <row r="286" customFormat="false" ht="15" hidden="false" customHeight="true" outlineLevel="0" collapsed="false">
      <c r="A286" s="3" t="s">
        <v>280</v>
      </c>
      <c r="B286" s="3" t="s">
        <v>288</v>
      </c>
      <c r="C286" s="3" t="s">
        <v>282</v>
      </c>
      <c r="D286" s="3" t="s">
        <v>10</v>
      </c>
      <c r="E286" s="3" t="s">
        <v>355</v>
      </c>
      <c r="F286" s="3" t="s">
        <v>12</v>
      </c>
      <c r="G286" s="3" t="s">
        <v>187</v>
      </c>
    </row>
    <row r="287" customFormat="false" ht="15" hidden="false" customHeight="true" outlineLevel="0" collapsed="false">
      <c r="A287" s="3" t="s">
        <v>280</v>
      </c>
      <c r="B287" s="3" t="s">
        <v>290</v>
      </c>
      <c r="C287" s="3" t="s">
        <v>282</v>
      </c>
      <c r="D287" s="3" t="s">
        <v>10</v>
      </c>
      <c r="E287" s="3" t="s">
        <v>356</v>
      </c>
      <c r="F287" s="3" t="s">
        <v>12</v>
      </c>
      <c r="G287" s="3" t="s">
        <v>187</v>
      </c>
    </row>
    <row r="288" customFormat="false" ht="15" hidden="false" customHeight="true" outlineLevel="0" collapsed="false">
      <c r="A288" s="3" t="s">
        <v>280</v>
      </c>
      <c r="B288" s="3" t="s">
        <v>292</v>
      </c>
      <c r="C288" s="3" t="s">
        <v>282</v>
      </c>
      <c r="D288" s="3" t="s">
        <v>10</v>
      </c>
      <c r="E288" s="3" t="s">
        <v>357</v>
      </c>
      <c r="F288" s="3" t="s">
        <v>12</v>
      </c>
      <c r="G288" s="3" t="s">
        <v>187</v>
      </c>
    </row>
    <row r="289" customFormat="false" ht="15" hidden="false" customHeight="true" outlineLevel="0" collapsed="false">
      <c r="A289" s="3" t="s">
        <v>280</v>
      </c>
      <c r="B289" s="3" t="s">
        <v>294</v>
      </c>
      <c r="C289" s="3" t="s">
        <v>282</v>
      </c>
      <c r="D289" s="3" t="s">
        <v>10</v>
      </c>
      <c r="E289" s="3" t="s">
        <v>358</v>
      </c>
      <c r="F289" s="3" t="s">
        <v>12</v>
      </c>
      <c r="G289" s="3" t="s">
        <v>187</v>
      </c>
    </row>
    <row r="290" customFormat="false" ht="15" hidden="false" customHeight="true" outlineLevel="0" collapsed="false">
      <c r="A290" s="3" t="s">
        <v>280</v>
      </c>
      <c r="B290" s="3" t="s">
        <v>359</v>
      </c>
      <c r="C290" s="3" t="s">
        <v>165</v>
      </c>
      <c r="D290" s="3" t="s">
        <v>166</v>
      </c>
      <c r="E290" s="3" t="s">
        <v>360</v>
      </c>
      <c r="F290" s="3" t="s">
        <v>12</v>
      </c>
      <c r="G290" s="3" t="s">
        <v>187</v>
      </c>
    </row>
    <row r="291" customFormat="false" ht="15" hidden="false" customHeight="true" outlineLevel="0" collapsed="false">
      <c r="A291" s="3" t="s">
        <v>280</v>
      </c>
      <c r="B291" s="3" t="s">
        <v>361</v>
      </c>
      <c r="C291" s="3" t="s">
        <v>165</v>
      </c>
      <c r="D291" s="3" t="s">
        <v>166</v>
      </c>
      <c r="E291" s="3" t="s">
        <v>362</v>
      </c>
      <c r="F291" s="3" t="s">
        <v>12</v>
      </c>
      <c r="G291" s="3" t="s">
        <v>187</v>
      </c>
    </row>
    <row r="292" customFormat="false" ht="15" hidden="false" customHeight="true" outlineLevel="0" collapsed="false">
      <c r="A292" s="3" t="s">
        <v>280</v>
      </c>
      <c r="B292" s="3" t="s">
        <v>363</v>
      </c>
      <c r="C292" s="3" t="s">
        <v>165</v>
      </c>
      <c r="D292" s="3" t="s">
        <v>166</v>
      </c>
      <c r="E292" s="3"/>
      <c r="F292" s="3" t="s">
        <v>12</v>
      </c>
      <c r="G292" s="3" t="s">
        <v>187</v>
      </c>
    </row>
    <row r="293" customFormat="false" ht="15" hidden="false" customHeight="true" outlineLevel="0" collapsed="false">
      <c r="A293" s="3" t="s">
        <v>280</v>
      </c>
      <c r="B293" s="3" t="s">
        <v>364</v>
      </c>
      <c r="C293" s="3" t="s">
        <v>165</v>
      </c>
      <c r="D293" s="3" t="s">
        <v>166</v>
      </c>
      <c r="E293" s="3"/>
      <c r="F293" s="3" t="s">
        <v>12</v>
      </c>
      <c r="G293" s="3" t="s">
        <v>187</v>
      </c>
    </row>
    <row r="294" customFormat="false" ht="15" hidden="false" customHeight="true" outlineLevel="0" collapsed="false">
      <c r="A294" s="3" t="s">
        <v>280</v>
      </c>
      <c r="B294" s="3" t="s">
        <v>365</v>
      </c>
      <c r="C294" s="3" t="s">
        <v>165</v>
      </c>
      <c r="D294" s="3" t="s">
        <v>168</v>
      </c>
      <c r="E294" s="3"/>
      <c r="F294" s="3" t="s">
        <v>12</v>
      </c>
      <c r="G294" s="3" t="s">
        <v>187</v>
      </c>
    </row>
    <row r="295" customFormat="false" ht="15" hidden="false" customHeight="true" outlineLevel="0" collapsed="false">
      <c r="A295" s="3" t="s">
        <v>280</v>
      </c>
      <c r="B295" s="3" t="s">
        <v>366</v>
      </c>
      <c r="C295" s="3" t="s">
        <v>165</v>
      </c>
      <c r="D295" s="3" t="s">
        <v>168</v>
      </c>
      <c r="E295" s="3"/>
      <c r="F295" s="3" t="s">
        <v>12</v>
      </c>
      <c r="G295" s="3" t="s">
        <v>187</v>
      </c>
    </row>
    <row r="296" customFormat="false" ht="15" hidden="false" customHeight="true" outlineLevel="0" collapsed="false">
      <c r="A296" s="3" t="s">
        <v>280</v>
      </c>
      <c r="B296" s="3" t="s">
        <v>367</v>
      </c>
      <c r="C296" s="3" t="s">
        <v>165</v>
      </c>
      <c r="D296" s="3" t="s">
        <v>166</v>
      </c>
      <c r="E296" s="3" t="s">
        <v>368</v>
      </c>
      <c r="F296" s="3" t="s">
        <v>12</v>
      </c>
      <c r="G296" s="3" t="s">
        <v>187</v>
      </c>
    </row>
    <row r="297" customFormat="false" ht="15" hidden="false" customHeight="true" outlineLevel="0" collapsed="false">
      <c r="A297" s="3" t="s">
        <v>369</v>
      </c>
      <c r="B297" s="3" t="s">
        <v>370</v>
      </c>
      <c r="C297" s="3" t="s">
        <v>277</v>
      </c>
      <c r="D297" s="3" t="s">
        <v>278</v>
      </c>
      <c r="E297" s="3" t="s">
        <v>177</v>
      </c>
      <c r="F297" s="3" t="s">
        <v>12</v>
      </c>
      <c r="G297" s="3" t="s">
        <v>187</v>
      </c>
    </row>
    <row r="298" customFormat="false" ht="15" hidden="false" customHeight="true" outlineLevel="0" collapsed="false">
      <c r="A298" s="3" t="s">
        <v>179</v>
      </c>
      <c r="B298" s="3" t="s">
        <v>371</v>
      </c>
      <c r="C298" s="3" t="s">
        <v>140</v>
      </c>
      <c r="D298" s="3" t="s">
        <v>372</v>
      </c>
      <c r="E298" s="3" t="s">
        <v>373</v>
      </c>
      <c r="F298" s="3" t="s">
        <v>12</v>
      </c>
      <c r="G298" s="3" t="s">
        <v>187</v>
      </c>
    </row>
    <row r="299" customFormat="false" ht="15" hidden="false" customHeight="true" outlineLevel="0" collapsed="false">
      <c r="A299" s="3" t="s">
        <v>179</v>
      </c>
      <c r="B299" s="3" t="s">
        <v>374</v>
      </c>
      <c r="C299" s="3" t="s">
        <v>165</v>
      </c>
      <c r="D299" s="3" t="s">
        <v>166</v>
      </c>
      <c r="E299" s="3" t="s">
        <v>375</v>
      </c>
      <c r="F299" s="3" t="s">
        <v>12</v>
      </c>
      <c r="G299" s="3" t="s">
        <v>187</v>
      </c>
    </row>
    <row r="300" customFormat="false" ht="15" hidden="false" customHeight="true" outlineLevel="0" collapsed="false">
      <c r="A300" s="3" t="s">
        <v>179</v>
      </c>
      <c r="B300" s="3" t="s">
        <v>376</v>
      </c>
      <c r="C300" s="3" t="s">
        <v>165</v>
      </c>
      <c r="D300" s="3" t="s">
        <v>166</v>
      </c>
      <c r="E300" s="3" t="s">
        <v>373</v>
      </c>
      <c r="F300" s="3" t="s">
        <v>12</v>
      </c>
      <c r="G300" s="3" t="s">
        <v>187</v>
      </c>
    </row>
    <row r="301" customFormat="false" ht="15" hidden="false" customHeight="true" outlineLevel="0" collapsed="false">
      <c r="A301" s="3" t="s">
        <v>377</v>
      </c>
      <c r="B301" s="3" t="s">
        <v>378</v>
      </c>
      <c r="C301" s="3" t="s">
        <v>277</v>
      </c>
      <c r="D301" s="3" t="s">
        <v>278</v>
      </c>
      <c r="E301" s="3" t="s">
        <v>177</v>
      </c>
      <c r="F301" s="3" t="s">
        <v>12</v>
      </c>
      <c r="G301" s="3" t="s">
        <v>187</v>
      </c>
    </row>
    <row r="302" customFormat="false" ht="15" hidden="false" customHeight="true" outlineLevel="0" collapsed="false">
      <c r="A302" s="3" t="s">
        <v>379</v>
      </c>
      <c r="B302" s="3" t="s">
        <v>380</v>
      </c>
      <c r="C302" s="3" t="s">
        <v>165</v>
      </c>
      <c r="D302" s="3" t="s">
        <v>381</v>
      </c>
      <c r="E302" s="3" t="s">
        <v>382</v>
      </c>
      <c r="F302" s="3" t="s">
        <v>12</v>
      </c>
      <c r="G302" s="3" t="s">
        <v>187</v>
      </c>
    </row>
    <row r="303" customFormat="false" ht="15" hidden="false" customHeight="true" outlineLevel="0" collapsed="false">
      <c r="A303" s="3" t="s">
        <v>183</v>
      </c>
      <c r="B303" s="3" t="s">
        <v>383</v>
      </c>
      <c r="C303" s="3" t="s">
        <v>384</v>
      </c>
      <c r="D303" s="3" t="s">
        <v>385</v>
      </c>
      <c r="E303" s="3" t="s">
        <v>386</v>
      </c>
      <c r="F303" s="3" t="s">
        <v>12</v>
      </c>
      <c r="G303" s="3" t="s">
        <v>187</v>
      </c>
    </row>
    <row r="304" customFormat="false" ht="15" hidden="false" customHeight="true" outlineLevel="0" collapsed="false">
      <c r="A304" s="3" t="s">
        <v>163</v>
      </c>
      <c r="B304" s="3" t="s">
        <v>387</v>
      </c>
      <c r="C304" s="3" t="s">
        <v>165</v>
      </c>
      <c r="D304" s="3" t="s">
        <v>381</v>
      </c>
      <c r="E304" s="3" t="s">
        <v>388</v>
      </c>
      <c r="F304" s="3" t="s">
        <v>12</v>
      </c>
      <c r="G304" s="3" t="s">
        <v>187</v>
      </c>
    </row>
    <row r="305" customFormat="false" ht="15" hidden="false" customHeight="true" outlineLevel="0" collapsed="false">
      <c r="A305" s="3" t="s">
        <v>179</v>
      </c>
      <c r="B305" s="3" t="s">
        <v>389</v>
      </c>
      <c r="C305" s="3" t="s">
        <v>165</v>
      </c>
      <c r="D305" s="3" t="s">
        <v>390</v>
      </c>
      <c r="E305" s="3" t="s">
        <v>391</v>
      </c>
      <c r="F305" s="3" t="s">
        <v>12</v>
      </c>
      <c r="G305" s="3" t="s">
        <v>187</v>
      </c>
    </row>
    <row r="306" customFormat="false" ht="15" hidden="false" customHeight="true" outlineLevel="0" collapsed="false">
      <c r="A306" s="3" t="s">
        <v>179</v>
      </c>
      <c r="B306" s="3" t="s">
        <v>392</v>
      </c>
      <c r="C306" s="3" t="s">
        <v>165</v>
      </c>
      <c r="D306" s="3" t="s">
        <v>381</v>
      </c>
      <c r="E306" s="3" t="s">
        <v>373</v>
      </c>
      <c r="F306" s="3" t="s">
        <v>12</v>
      </c>
      <c r="G306" s="3" t="s">
        <v>187</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F4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1" ySplit="3" topLeftCell="B4" activePane="bottomRight" state="frozen"/>
      <selection pane="topLeft" activeCell="A1" activeCellId="0" sqref="A1"/>
      <selection pane="topRight" activeCell="B1" activeCellId="0" sqref="B1"/>
      <selection pane="bottomLeft" activeCell="A4" activeCellId="0" sqref="A4"/>
      <selection pane="bottomRight" activeCell="A1" activeCellId="0" sqref="A1"/>
    </sheetView>
  </sheetViews>
  <sheetFormatPr defaultColWidth="8.6796875" defaultRowHeight="15" zeroHeight="false" outlineLevelRow="0" outlineLevelCol="0"/>
  <cols>
    <col collapsed="false" customWidth="true" hidden="false" outlineLevel="0" max="29" min="1" style="1" width="15"/>
    <col collapsed="false" customWidth="true" hidden="false" outlineLevel="0" max="32" min="31" style="0" width="15"/>
  </cols>
  <sheetData>
    <row r="1" customFormat="false" ht="15" hidden="false" customHeight="true" outlineLevel="0" collapsed="false">
      <c r="A1" s="4" t="s">
        <v>664</v>
      </c>
    </row>
    <row r="2" customFormat="false" ht="15" hidden="false" customHeight="true" outlineLevel="0" collapsed="false">
      <c r="A2" s="5" t="s">
        <v>665</v>
      </c>
    </row>
    <row r="3" customFormat="false" ht="75" hidden="false" customHeight="true" outlineLevel="0" collapsed="false">
      <c r="A3" s="8" t="s">
        <v>405</v>
      </c>
      <c r="B3" s="8" t="s">
        <v>666</v>
      </c>
      <c r="C3" s="8" t="s">
        <v>432</v>
      </c>
      <c r="D3" s="8" t="s">
        <v>513</v>
      </c>
      <c r="E3" s="8" t="s">
        <v>667</v>
      </c>
      <c r="F3" s="8" t="s">
        <v>515</v>
      </c>
      <c r="G3" s="8" t="s">
        <v>516</v>
      </c>
      <c r="H3" s="8" t="s">
        <v>517</v>
      </c>
      <c r="I3" s="8" t="s">
        <v>518</v>
      </c>
      <c r="J3" s="8" t="s">
        <v>435</v>
      </c>
      <c r="K3" s="8" t="s">
        <v>436</v>
      </c>
      <c r="L3" s="8" t="s">
        <v>481</v>
      </c>
      <c r="M3" s="8" t="s">
        <v>424</v>
      </c>
      <c r="N3" s="8" t="s">
        <v>408</v>
      </c>
      <c r="O3" s="8" t="s">
        <v>415</v>
      </c>
      <c r="P3" s="8" t="s">
        <v>519</v>
      </c>
      <c r="Q3" s="8" t="s">
        <v>520</v>
      </c>
      <c r="R3" s="8" t="s">
        <v>521</v>
      </c>
      <c r="S3" s="8" t="s">
        <v>522</v>
      </c>
      <c r="T3" s="8" t="s">
        <v>523</v>
      </c>
      <c r="U3" s="8" t="s">
        <v>524</v>
      </c>
      <c r="V3" s="8" t="s">
        <v>525</v>
      </c>
      <c r="W3" s="8" t="s">
        <v>526</v>
      </c>
      <c r="X3" s="8" t="s">
        <v>527</v>
      </c>
      <c r="Y3" s="8" t="s">
        <v>528</v>
      </c>
      <c r="Z3" s="8" t="s">
        <v>529</v>
      </c>
      <c r="AA3" s="8" t="s">
        <v>530</v>
      </c>
      <c r="AB3" s="8" t="s">
        <v>531</v>
      </c>
      <c r="AC3" s="8" t="s">
        <v>532</v>
      </c>
      <c r="AE3" s="21" t="s">
        <v>533</v>
      </c>
      <c r="AF3" s="21" t="s">
        <v>534</v>
      </c>
    </row>
    <row r="4" customFormat="false" ht="15" hidden="false" customHeight="true" outlineLevel="0" collapsed="false">
      <c r="A4" s="22" t="n">
        <v>2016</v>
      </c>
      <c r="B4" s="14" t="n">
        <f aca="false">Composite!Z17</f>
        <v>0.0510259496535679</v>
      </c>
      <c r="C4" s="14" t="n">
        <f aca="false">Composite!Y17</f>
        <v>0.0245</v>
      </c>
      <c r="D4" s="14" t="n">
        <f aca="false">B4-C4</f>
        <v>0.0265259496535679</v>
      </c>
      <c r="E4" s="14" t="n">
        <f aca="false">Composite!AA17</f>
        <v>0.0567755701686455</v>
      </c>
      <c r="F4" s="14" t="n">
        <f aca="false">E4-B4</f>
        <v>0.00574962051507755</v>
      </c>
      <c r="G4" s="14" t="n">
        <f aca="false">INDEX('CoStar - US Office'!$B:$B,MATCH(2016,'CoStar - US Office'!$A:$A,0))</f>
        <v>0.0970735517913501</v>
      </c>
      <c r="H4" s="14" t="n">
        <f aca="false">INDEX('CoStar - US Office'!$E:$E,MATCH(2016,'CoStar - US Office'!$A:$A,0))</f>
        <v>0.031547647151038</v>
      </c>
      <c r="I4" s="14" t="n">
        <f aca="false">INDEX('CoStar - US Office'!$H:$H,MATCH(2016,'CoStar - US Office'!$A:$A,0))</f>
        <v>0.0055196739996702</v>
      </c>
      <c r="J4" s="15" t="n">
        <f aca="false">Composite!AB17</f>
        <v>19.5978714122781</v>
      </c>
      <c r="K4" s="15" t="n">
        <f aca="false">Composite!AC17</f>
        <v>17.6132092910668</v>
      </c>
      <c r="L4" s="9" t="n">
        <f aca="false">Composite!B17</f>
        <v>1165.3982136287</v>
      </c>
      <c r="M4" s="9" t="n">
        <f aca="false">Composite!Q17</f>
        <v>22839.3243347938</v>
      </c>
      <c r="N4" s="9" t="n">
        <f aca="false">Composite!D17</f>
        <v>894.043706627625</v>
      </c>
      <c r="O4" s="9" t="n">
        <f aca="false">Composite!K17</f>
        <v>15746.9789201935</v>
      </c>
      <c r="P4" s="14" t="n">
        <f aca="false">INDEX('Prime Rate'!$B:$B,MATCH(2016,'Prime Rate'!$A:$A,0))</f>
        <v>0.0351</v>
      </c>
      <c r="Q4" s="9" t="n">
        <f aca="false">M4-L4</f>
        <v>21673.9261211651</v>
      </c>
      <c r="R4" s="9" t="n">
        <f aca="false">O4-N4</f>
        <v>14852.9352135658</v>
      </c>
      <c r="S4" s="23" t="n">
        <f aca="false">INDEX(Inflation!$G:$G,MATCH(2016,Inflation!$A:$A,0))</f>
        <v>0.0126707791495431</v>
      </c>
      <c r="T4" s="14" t="n">
        <f aca="false">INDEX('Green Street National'!$D:$D,MATCH(2016,'Green Street National'!$A:$A,0))</f>
        <v>0.05658714</v>
      </c>
      <c r="U4" s="9" t="n">
        <f aca="false">INDEX('Green Street National'!$F:$F,MATCH(2016,'Green Street National'!$A:$A,0))</f>
        <v>100</v>
      </c>
      <c r="V4" s="9" t="n">
        <f aca="false">INDEX(Inflation!$D:$D,MATCH(2016,Inflation!$A:$A,0))</f>
        <v>100</v>
      </c>
      <c r="W4" s="9" t="n">
        <f aca="false">INDEX(Inflation!$E:$E,MATCH(2016,Inflation!$A:$A,0))</f>
        <v>100</v>
      </c>
      <c r="X4" s="9" t="n">
        <f aca="false">INDEX('CoStar - US Office'!$G:$G,MATCH(2016,'CoStar - US Office'!$A:$A,0))</f>
        <v>100</v>
      </c>
      <c r="Y4" s="23" t="n">
        <f aca="false">INDEX('Green Street National'!$C:$C,MATCH(2016,'Green Street National'!$A:$A,0))</f>
        <v>0.01895593</v>
      </c>
      <c r="Z4" s="23" t="str">
        <f aca="false">INDEX('CoStar - US Office'!$D:$D,MATCH(2016,'CoStar - US Office'!$A:$A,0))</f>
        <v>n/a</v>
      </c>
      <c r="AA4" s="9" t="n">
        <f aca="false">INDEX('CoStar - US Office'!$F:$F,MATCH(2016,'CoStar - US Office'!$A:$A,0))</f>
        <v>31.6313190637154</v>
      </c>
      <c r="AB4" s="23" t="n">
        <f aca="false">INDEX('CoStar - US Office'!$C:$C,MATCH(2016,'CoStar - US Office'!$A:$A,0))</f>
        <v>0.90292644820865</v>
      </c>
      <c r="AC4" s="9" t="n">
        <f aca="false">100</f>
        <v>100</v>
      </c>
      <c r="AE4" s="24" t="str">
        <f aca="false">""</f>
        <v/>
      </c>
      <c r="AF4" s="24" t="str">
        <f aca="false">""</f>
        <v/>
      </c>
    </row>
    <row r="5" customFormat="false" ht="15" hidden="false" customHeight="true" outlineLevel="0" collapsed="false">
      <c r="A5" s="22" t="n">
        <v>2017</v>
      </c>
      <c r="B5" s="14" t="n">
        <f aca="false">Composite!Z16</f>
        <v>0.0498096746857612</v>
      </c>
      <c r="C5" s="14" t="n">
        <f aca="false">Composite!Y16</f>
        <v>0.024</v>
      </c>
      <c r="D5" s="14" t="n">
        <f aca="false">B5-C5</f>
        <v>0.0258096746857612</v>
      </c>
      <c r="E5" s="14" t="n">
        <f aca="false">Composite!AA16</f>
        <v>0.0564169927274838</v>
      </c>
      <c r="F5" s="14" t="n">
        <f aca="false">E5-B5</f>
        <v>0.00660731804172258</v>
      </c>
      <c r="G5" s="14" t="n">
        <f aca="false">INDEX('CoStar - US Office'!$B:$B,MATCH(2017,'CoStar - US Office'!$A:$A,0))</f>
        <v>0.0954879748749349</v>
      </c>
      <c r="H5" s="14" t="n">
        <f aca="false">INDEX('CoStar - US Office'!$E:$E,MATCH(2017,'CoStar - US Office'!$A:$A,0))</f>
        <v>0.0238303537312997</v>
      </c>
      <c r="I5" s="14" t="n">
        <f aca="false">INDEX('CoStar - US Office'!$H:$H,MATCH(2017,'CoStar - US Office'!$A:$A,0))</f>
        <v>0.0069526825011159</v>
      </c>
      <c r="J5" s="15" t="n">
        <f aca="false">Composite!AB16</f>
        <v>20.0764210227991</v>
      </c>
      <c r="K5" s="15" t="n">
        <f aca="false">Composite!AC16</f>
        <v>17.7251560505962</v>
      </c>
      <c r="L5" s="9" t="n">
        <f aca="false">Composite!B16</f>
        <v>1188.64642526213</v>
      </c>
      <c r="M5" s="9" t="n">
        <f aca="false">Composite!Q16</f>
        <v>23863.7660808077</v>
      </c>
      <c r="N5" s="9" t="n">
        <f aca="false">Composite!D16</f>
        <v>918.418327824978</v>
      </c>
      <c r="O5" s="9" t="n">
        <f aca="false">Composite!K16</f>
        <v>16279.1081804253</v>
      </c>
      <c r="P5" s="14" t="n">
        <f aca="false">INDEX('Prime Rate'!$B:$B,MATCH(2017,'Prime Rate'!$A:$A,0))</f>
        <v>0.041</v>
      </c>
      <c r="Q5" s="9" t="n">
        <f aca="false">M5-L5</f>
        <v>22675.1196555456</v>
      </c>
      <c r="R5" s="9" t="n">
        <f aca="false">O5-N5</f>
        <v>15360.6898526004</v>
      </c>
      <c r="S5" s="23" t="n">
        <f aca="false">INDEX(Inflation!$G:$G,MATCH(2017,Inflation!$A:$A,0))</f>
        <v>0.0213162225786963</v>
      </c>
      <c r="T5" s="14" t="n">
        <f aca="false">INDEX('Green Street National'!$D:$D,MATCH(2017,'Green Street National'!$A:$A,0))</f>
        <v>0.05803697</v>
      </c>
      <c r="U5" s="9" t="n">
        <f aca="false">INDEX('Green Street National'!$F:$F,MATCH(2017,'Green Street National'!$A:$A,0))</f>
        <v>102.414193258894</v>
      </c>
      <c r="V5" s="9" t="n">
        <f aca="false">INDEX(Inflation!$D:$D,MATCH(2017,Inflation!$A:$A,0))</f>
        <v>102.196167016261</v>
      </c>
      <c r="W5" s="9" t="n">
        <f aca="false">INDEX(Inflation!$E:$E,MATCH(2017,Inflation!$A:$A,0))</f>
        <v>102.13162225787</v>
      </c>
      <c r="X5" s="9" t="n">
        <f aca="false">INDEX('CoStar - US Office'!$G:$G,MATCH(2017,'CoStar - US Office'!$A:$A,0))</f>
        <v>102.38303537313</v>
      </c>
      <c r="Y5" s="23" t="n">
        <f aca="false">INDEX('Green Street National'!$C:$C,MATCH(2017,'Green Street National'!$A:$A,0))</f>
        <v>0.00975579</v>
      </c>
      <c r="Z5" s="23" t="n">
        <f aca="false">INDEX('CoStar - US Office'!$D:$D,MATCH(2017,'CoStar - US Office'!$A:$A,0))</f>
        <v>0.00158557691641525</v>
      </c>
      <c r="AA5" s="9" t="n">
        <f aca="false">INDEX('CoStar - US Office'!$F:$F,MATCH(2017,'CoStar - US Office'!$A:$A,0))</f>
        <v>32.3851045859914</v>
      </c>
      <c r="AB5" s="23" t="n">
        <f aca="false">INDEX('CoStar - US Office'!$C:$C,MATCH(2017,'CoStar - US Office'!$A:$A,0))</f>
        <v>0.904512025125065</v>
      </c>
      <c r="AC5" s="9" t="n">
        <f aca="false">AC4*(1+INDEX('Green Street National'!$C:$C,MATCH(2017,'Green Street National'!$A:$A,0)))</f>
        <v>100.975579</v>
      </c>
      <c r="AE5" s="24" t="str">
        <f aca="false">IF(N(L4)=0,"",TEXT(L5/L4-1,"+0%;-0%"))</f>
        <v>+2%</v>
      </c>
      <c r="AF5" s="24" t="str">
        <f aca="false">IF(N(N4)=0,"",TEXT(N5/N4-1,"+0%;-0%"))</f>
        <v>+3%</v>
      </c>
    </row>
    <row r="6" customFormat="false" ht="15" hidden="false" customHeight="true" outlineLevel="0" collapsed="false">
      <c r="A6" s="22" t="n">
        <v>2018</v>
      </c>
      <c r="B6" s="14" t="n">
        <f aca="false">Composite!Z15</f>
        <v>0.0541451373592081</v>
      </c>
      <c r="C6" s="14" t="n">
        <f aca="false">Composite!Y15</f>
        <v>0.0269</v>
      </c>
      <c r="D6" s="14" t="n">
        <f aca="false">B6-C6</f>
        <v>0.0272451373592081</v>
      </c>
      <c r="E6" s="14" t="n">
        <f aca="false">Composite!AA15</f>
        <v>0.0654517139652648</v>
      </c>
      <c r="F6" s="14" t="n">
        <f aca="false">E6-B6</f>
        <v>0.0113065766060567</v>
      </c>
      <c r="G6" s="14" t="n">
        <f aca="false">INDEX('CoStar - US Office'!$B:$B,MATCH(2018,'CoStar - US Office'!$A:$A,0))</f>
        <v>0.0932114558152037</v>
      </c>
      <c r="H6" s="14" t="n">
        <f aca="false">INDEX('CoStar - US Office'!$E:$E,MATCH(2018,'CoStar - US Office'!$A:$A,0))</f>
        <v>0.0302878208785191</v>
      </c>
      <c r="I6" s="14" t="n">
        <f aca="false">INDEX('CoStar - US Office'!$H:$H,MATCH(2018,'CoStar - US Office'!$A:$A,0))</f>
        <v>0.00664155934340847</v>
      </c>
      <c r="J6" s="15" t="n">
        <f aca="false">Composite!AB15</f>
        <v>18.4688791786754</v>
      </c>
      <c r="K6" s="15" t="n">
        <f aca="false">Composite!AC15</f>
        <v>15.27843870568</v>
      </c>
      <c r="L6" s="9" t="n">
        <f aca="false">Composite!B15</f>
        <v>1259.46329072199</v>
      </c>
      <c r="M6" s="9" t="n">
        <f aca="false">Composite!Q15</f>
        <v>23260.8753463214</v>
      </c>
      <c r="N6" s="9" t="n">
        <f aca="false">Composite!D15</f>
        <v>963.152879034413</v>
      </c>
      <c r="O6" s="9" t="n">
        <f aca="false">Composite!K15</f>
        <v>14715.4722265265</v>
      </c>
      <c r="P6" s="14" t="n">
        <f aca="false">INDEX('Prime Rate'!$B:$B,MATCH(2018,'Prime Rate'!$A:$A,0))</f>
        <v>0.049</v>
      </c>
      <c r="Q6" s="9" t="n">
        <f aca="false">M6-L6</f>
        <v>22001.4120555995</v>
      </c>
      <c r="R6" s="9" t="n">
        <f aca="false">O6-N6</f>
        <v>13752.3193474921</v>
      </c>
      <c r="S6" s="23" t="n">
        <f aca="false">INDEX(Inflation!$G:$G,MATCH(2018,Inflation!$A:$A,0))</f>
        <v>0.0243920349541655</v>
      </c>
      <c r="T6" s="14" t="n">
        <f aca="false">INDEX('Green Street National'!$D:$D,MATCH(2018,'Green Street National'!$A:$A,0))</f>
        <v>0.0583128</v>
      </c>
      <c r="U6" s="9" t="n">
        <f aca="false">INDEX('Green Street National'!$F:$F,MATCH(2018,'Green Street National'!$A:$A,0))</f>
        <v>102.121786086096</v>
      </c>
      <c r="V6" s="9" t="n">
        <f aca="false">INDEX(Inflation!$D:$D,MATCH(2018,Inflation!$A:$A,0))</f>
        <v>106.491690421126</v>
      </c>
      <c r="W6" s="9" t="n">
        <f aca="false">INDEX(Inflation!$E:$E,MATCH(2018,Inflation!$A:$A,0))</f>
        <v>104.622820357909</v>
      </c>
      <c r="X6" s="9" t="n">
        <f aca="false">INDEX('CoStar - US Office'!$G:$G,MATCH(2018,'CoStar - US Office'!$A:$A,0))</f>
        <v>105.483994409511</v>
      </c>
      <c r="Y6" s="23" t="n">
        <f aca="false">INDEX('Green Street National'!$C:$C,MATCH(2018,'Green Street National'!$A:$A,0))</f>
        <v>0.02229099</v>
      </c>
      <c r="Z6" s="23" t="n">
        <f aca="false">INDEX('CoStar - US Office'!$D:$D,MATCH(2018,'CoStar - US Office'!$A:$A,0))</f>
        <v>0.00227651905973114</v>
      </c>
      <c r="AA6" s="9" t="n">
        <f aca="false">INDEX('CoStar - US Office'!$F:$F,MATCH(2018,'CoStar - US Office'!$A:$A,0))</f>
        <v>33.365978832824</v>
      </c>
      <c r="AB6" s="23" t="n">
        <f aca="false">INDEX('CoStar - US Office'!$C:$C,MATCH(2018,'CoStar - US Office'!$A:$A,0))</f>
        <v>0.906788544184796</v>
      </c>
      <c r="AC6" s="9" t="n">
        <f aca="false">AC5*(1+INDEX('Green Street National'!$C:$C,MATCH(2018,'Green Street National'!$A:$A,0)))</f>
        <v>103.226424621733</v>
      </c>
      <c r="AE6" s="24" t="str">
        <f aca="false">IF(N(L5)=0,"",TEXT(L6/L5-1,"+0%;-0%"))</f>
        <v>+6%</v>
      </c>
      <c r="AF6" s="24" t="str">
        <f aca="false">IF(N(N5)=0,"",TEXT(N6/N5-1,"+0%;-0%"))</f>
        <v>+5%</v>
      </c>
    </row>
    <row r="7" customFormat="false" ht="15" hidden="false" customHeight="true" outlineLevel="0" collapsed="false">
      <c r="A7" s="22" t="n">
        <v>2019</v>
      </c>
      <c r="B7" s="14" t="n">
        <f aca="false">Composite!Z14</f>
        <v>0.0511641245456592</v>
      </c>
      <c r="C7" s="14" t="n">
        <f aca="false">Composite!Y14</f>
        <v>0.0192</v>
      </c>
      <c r="D7" s="14" t="n">
        <f aca="false">B7-C7</f>
        <v>0.0319641245456592</v>
      </c>
      <c r="E7" s="14" t="n">
        <f aca="false">Composite!AA14</f>
        <v>0.059740499009642</v>
      </c>
      <c r="F7" s="14" t="n">
        <f aca="false">E7-B7</f>
        <v>0.00857637446398287</v>
      </c>
      <c r="G7" s="14" t="n">
        <f aca="false">INDEX('CoStar - US Office'!$B:$B,MATCH(2019,'CoStar - US Office'!$A:$A,0))</f>
        <v>0.0935992552144097</v>
      </c>
      <c r="H7" s="14" t="n">
        <f aca="false">INDEX('CoStar - US Office'!$E:$E,MATCH(2019,'CoStar - US Office'!$A:$A,0))</f>
        <v>0.0354820605592993</v>
      </c>
      <c r="I7" s="14" t="n">
        <f aca="false">INDEX('CoStar - US Office'!$H:$H,MATCH(2019,'CoStar - US Office'!$A:$A,0))</f>
        <v>0.0067202786358476</v>
      </c>
      <c r="J7" s="15" t="n">
        <f aca="false">Composite!AB14</f>
        <v>19.5449449957381</v>
      </c>
      <c r="K7" s="15" t="n">
        <f aca="false">Composite!AC14</f>
        <v>16.7390633921321</v>
      </c>
      <c r="L7" s="9" t="n">
        <f aca="false">Composite!B14</f>
        <v>1343.97396319532</v>
      </c>
      <c r="M7" s="9" t="n">
        <f aca="false">Composite!Q14</f>
        <v>26267.8971863565</v>
      </c>
      <c r="N7" s="9" t="n">
        <f aca="false">Composite!D14</f>
        <v>1037.41576120015</v>
      </c>
      <c r="O7" s="9" t="n">
        <f aca="false">Composite!K14</f>
        <v>17365.3681907262</v>
      </c>
      <c r="P7" s="14" t="n">
        <f aca="false">INDEX('Prime Rate'!$B:$B,MATCH(2019,'Prime Rate'!$A:$A,0))</f>
        <v>0.0528</v>
      </c>
      <c r="Q7" s="9" t="n">
        <f aca="false">M7-L7</f>
        <v>24923.9232231612</v>
      </c>
      <c r="R7" s="9" t="n">
        <f aca="false">O7-N7</f>
        <v>16327.9524295261</v>
      </c>
      <c r="S7" s="23" t="n">
        <f aca="false">INDEX(Inflation!$G:$G,MATCH(2019,Inflation!$A:$A,0))</f>
        <v>0.0181322182397452</v>
      </c>
      <c r="T7" s="14" t="n">
        <f aca="false">INDEX('Green Street National'!$D:$D,MATCH(2019,'Green Street National'!$A:$A,0))</f>
        <v>0.05915908</v>
      </c>
      <c r="U7" s="9" t="n">
        <f aca="false">INDEX('Green Street National'!$F:$F,MATCH(2019,'Green Street National'!$A:$A,0))</f>
        <v>104.704183104862</v>
      </c>
      <c r="V7" s="9" t="n">
        <f aca="false">INDEX(Inflation!$D:$D,MATCH(2019,Inflation!$A:$A,0))</f>
        <v>111.952526936661</v>
      </c>
      <c r="W7" s="9" t="n">
        <f aca="false">INDEX(Inflation!$E:$E,MATCH(2019,Inflation!$A:$A,0))</f>
        <v>106.519864169497</v>
      </c>
      <c r="X7" s="9" t="n">
        <f aca="false">INDEX('CoStar - US Office'!$G:$G,MATCH(2019,'CoStar - US Office'!$A:$A,0))</f>
        <v>109.226783887186</v>
      </c>
      <c r="Y7" s="23" t="n">
        <f aca="false">INDEX('Green Street National'!$C:$C,MATCH(2019,'Green Street National'!$A:$A,0))</f>
        <v>0.03556294</v>
      </c>
      <c r="Z7" s="23" t="n">
        <f aca="false">INDEX('CoStar - US Office'!$D:$D,MATCH(2019,'CoStar - US Office'!$A:$A,0))</f>
        <v>-0.000387799399205968</v>
      </c>
      <c r="AA7" s="9" t="n">
        <f aca="false">INDEX('CoStar - US Office'!$F:$F,MATCH(2019,'CoStar - US Office'!$A:$A,0))</f>
        <v>34.5498725143906</v>
      </c>
      <c r="AB7" s="23" t="n">
        <f aca="false">INDEX('CoStar - US Office'!$C:$C,MATCH(2019,'CoStar - US Office'!$A:$A,0))</f>
        <v>0.90640074478559</v>
      </c>
      <c r="AC7" s="9" t="n">
        <f aca="false">AC6*(1+INDEX('Green Street National'!$C:$C,MATCH(2019,'Green Street National'!$A:$A,0)))</f>
        <v>106.89745976697</v>
      </c>
      <c r="AE7" s="24" t="str">
        <f aca="false">IF(N(L6)=0,"",TEXT(L7/L6-1,"+0%;-0%"))</f>
        <v>+7%</v>
      </c>
      <c r="AF7" s="24" t="str">
        <f aca="false">IF(N(N6)=0,"",TEXT(N7/N6-1,"+0%;-0%"))</f>
        <v>+8%</v>
      </c>
    </row>
    <row r="8" customFormat="false" ht="15" hidden="false" customHeight="true" outlineLevel="0" collapsed="false">
      <c r="A8" s="22" t="n">
        <v>2020</v>
      </c>
      <c r="B8" s="14" t="n">
        <f aca="false">Composite!Z13</f>
        <v>0.0593421646400434</v>
      </c>
      <c r="C8" s="14" t="n">
        <f aca="false">Composite!Y13</f>
        <v>0.0093</v>
      </c>
      <c r="D8" s="14" t="n">
        <f aca="false">B8-C8</f>
        <v>0.0500421646400434</v>
      </c>
      <c r="E8" s="14" t="n">
        <f aca="false">Composite!AA13</f>
        <v>0.0817655557715684</v>
      </c>
      <c r="F8" s="14" t="n">
        <f aca="false">E8-B8</f>
        <v>0.022423391131525</v>
      </c>
      <c r="G8" s="14" t="n">
        <f aca="false">INDEX('CoStar - US Office'!$B:$B,MATCH(2020,'CoStar - US Office'!$A:$A,0))</f>
        <v>0.107657163277639</v>
      </c>
      <c r="H8" s="14" t="n">
        <f aca="false">INDEX('CoStar - US Office'!$E:$E,MATCH(2020,'CoStar - US Office'!$A:$A,0))</f>
        <v>-0.0155535025524075</v>
      </c>
      <c r="I8" s="14" t="n">
        <f aca="false">INDEX('CoStar - US Office'!$H:$H,MATCH(2020,'CoStar - US Office'!$A:$A,0))</f>
        <v>0.00631100374992295</v>
      </c>
      <c r="J8" s="15" t="n">
        <f aca="false">Composite!AB13</f>
        <v>16.8514243803842</v>
      </c>
      <c r="K8" s="15" t="n">
        <f aca="false">Composite!AC13</f>
        <v>12.2300887037781</v>
      </c>
      <c r="L8" s="9" t="n">
        <f aca="false">Composite!B13</f>
        <v>1270.10752820718</v>
      </c>
      <c r="M8" s="9" t="n">
        <f aca="false">Composite!Q13</f>
        <v>21403.1209665399</v>
      </c>
      <c r="N8" s="9" t="n">
        <f aca="false">Composite!D13</f>
        <v>948.585801887195</v>
      </c>
      <c r="O8" s="9" t="n">
        <f aca="false">Composite!K13</f>
        <v>11601.2885002249</v>
      </c>
      <c r="P8" s="14" t="n">
        <f aca="false">INDEX('Prime Rate'!$B:$B,MATCH(2020,'Prime Rate'!$A:$A,0))</f>
        <v>0.0354</v>
      </c>
      <c r="Q8" s="9" t="n">
        <f aca="false">M8-L8</f>
        <v>20133.0134383328</v>
      </c>
      <c r="R8" s="9" t="n">
        <f aca="false">O8-N8</f>
        <v>10652.7026983377</v>
      </c>
      <c r="S8" s="23" t="n">
        <f aca="false">INDEX(Inflation!$G:$G,MATCH(2020,Inflation!$A:$A,0))</f>
        <v>0.0125287010127009</v>
      </c>
      <c r="T8" s="14" t="n">
        <f aca="false">INDEX('Green Street National'!$D:$D,MATCH(2020,'Green Street National'!$A:$A,0))</f>
        <v>0.06399001</v>
      </c>
      <c r="U8" s="9" t="n">
        <f aca="false">INDEX('Green Street National'!$F:$F,MATCH(2020,'Green Street National'!$A:$A,0))</f>
        <v>97.1388418279712</v>
      </c>
      <c r="V8" s="9" t="n">
        <f aca="false">INDEX(Inflation!$D:$D,MATCH(2020,Inflation!$A:$A,0))</f>
        <v>114.716111798347</v>
      </c>
      <c r="W8" s="9" t="n">
        <f aca="false">INDEX(Inflation!$E:$E,MATCH(2020,Inflation!$A:$A,0))</f>
        <v>107.85441969959</v>
      </c>
      <c r="X8" s="9" t="n">
        <f aca="false">INDEX('CoStar - US Office'!$G:$G,MATCH(2020,'CoStar - US Office'!$A:$A,0))</f>
        <v>107.527924825205</v>
      </c>
      <c r="Y8" s="23" t="n">
        <f aca="false">INDEX('Green Street National'!$C:$C,MATCH(2020,'Green Street National'!$A:$A,0))</f>
        <v>-0.07888407</v>
      </c>
      <c r="Z8" s="23" t="n">
        <f aca="false">INDEX('CoStar - US Office'!$D:$D,MATCH(2020,'CoStar - US Office'!$A:$A,0))</f>
        <v>-0.0140579080632293</v>
      </c>
      <c r="AA8" s="9" t="n">
        <f aca="false">INDEX('CoStar - US Office'!$F:$F,MATCH(2020,'CoStar - US Office'!$A:$A,0))</f>
        <v>34.0125009840526</v>
      </c>
      <c r="AB8" s="23" t="n">
        <f aca="false">INDEX('CoStar - US Office'!$C:$C,MATCH(2020,'CoStar - US Office'!$A:$A,0))</f>
        <v>0.892342836722361</v>
      </c>
      <c r="AC8" s="9" t="n">
        <f aca="false">AC7*(1+INDEX('Green Street National'!$C:$C,MATCH(2020,'Green Street National'!$A:$A,0)))</f>
        <v>98.4649530678906</v>
      </c>
      <c r="AE8" s="24" t="str">
        <f aca="false">IF(N(L7)=0,"",TEXT(L8/L7-1,"+0%;-0%"))</f>
        <v>-5%</v>
      </c>
      <c r="AF8" s="24" t="str">
        <f aca="false">IF(N(N7)=0,"",TEXT(N8/N7-1,"+0%;-0%"))</f>
        <v>-9%</v>
      </c>
    </row>
    <row r="9" customFormat="false" ht="15" hidden="false" customHeight="true" outlineLevel="0" collapsed="false">
      <c r="A9" s="22" t="n">
        <v>2021</v>
      </c>
      <c r="B9" s="14" t="n">
        <f aca="false">Composite!Z12</f>
        <v>0.0562814110026484</v>
      </c>
      <c r="C9" s="14" t="n">
        <f aca="false">Composite!Y12</f>
        <v>0.0152</v>
      </c>
      <c r="D9" s="14" t="n">
        <f aca="false">B9-C9</f>
        <v>0.0410814110026484</v>
      </c>
      <c r="E9" s="14" t="n">
        <f aca="false">Composite!AA12</f>
        <v>0.072053145305598</v>
      </c>
      <c r="F9" s="14" t="n">
        <f aca="false">E9-B9</f>
        <v>0.0157717343029496</v>
      </c>
      <c r="G9" s="14" t="n">
        <f aca="false">INDEX('CoStar - US Office'!$B:$B,MATCH(2021,'CoStar - US Office'!$A:$A,0))</f>
        <v>0.118179744708771</v>
      </c>
      <c r="H9" s="14" t="n">
        <f aca="false">INDEX('CoStar - US Office'!$E:$E,MATCH(2021,'CoStar - US Office'!$A:$A,0))</f>
        <v>0.00888497006002991</v>
      </c>
      <c r="I9" s="14" t="n">
        <f aca="false">INDEX('CoStar - US Office'!$H:$H,MATCH(2021,'CoStar - US Office'!$A:$A,0))</f>
        <v>0.00599925350302214</v>
      </c>
      <c r="J9" s="15" t="n">
        <f aca="false">Composite!AB12</f>
        <v>17.7678558903391</v>
      </c>
      <c r="K9" s="15" t="n">
        <f aca="false">Composite!AC12</f>
        <v>13.8786446553959</v>
      </c>
      <c r="L9" s="9" t="n">
        <f aca="false">Composite!B12</f>
        <v>1340.0965239163</v>
      </c>
      <c r="M9" s="9" t="n">
        <f aca="false">Composite!Q12</f>
        <v>23810.6419160891</v>
      </c>
      <c r="N9" s="9" t="n">
        <f aca="false">Composite!D12</f>
        <v>1025.30479906598</v>
      </c>
      <c r="O9" s="9" t="n">
        <f aca="false">Composite!K12</f>
        <v>14229.8409697088</v>
      </c>
      <c r="P9" s="14" t="n">
        <f aca="false">INDEX('Prime Rate'!$B:$B,MATCH(2021,'Prime Rate'!$A:$A,0))</f>
        <v>0.0325</v>
      </c>
      <c r="Q9" s="9" t="n">
        <f aca="false">M9-L9</f>
        <v>22470.5453921728</v>
      </c>
      <c r="R9" s="9" t="n">
        <f aca="false">O9-N9</f>
        <v>13204.5361706428</v>
      </c>
      <c r="S9" s="23" t="n">
        <f aca="false">INDEX(Inflation!$G:$G,MATCH(2021,Inflation!$A:$A,0))</f>
        <v>0.0468098093148315</v>
      </c>
      <c r="T9" s="14" t="n">
        <f aca="false">INDEX('Green Street National'!$D:$D,MATCH(2021,'Green Street National'!$A:$A,0))</f>
        <v>0.06497242</v>
      </c>
      <c r="U9" s="9" t="n">
        <f aca="false">INDEX('Green Street National'!$F:$F,MATCH(2021,'Green Street National'!$A:$A,0))</f>
        <v>96.7262233029072</v>
      </c>
      <c r="V9" s="9" t="n">
        <f aca="false">INDEX(Inflation!$D:$D,MATCH(2021,Inflation!$A:$A,0))</f>
        <v>120.671758188566</v>
      </c>
      <c r="W9" s="9" t="n">
        <f aca="false">INDEX(Inflation!$E:$E,MATCH(2021,Inflation!$A:$A,0))</f>
        <v>112.903064519489</v>
      </c>
      <c r="X9" s="9" t="n">
        <f aca="false">INDEX('CoStar - US Office'!$G:$G,MATCH(2021,'CoStar - US Office'!$A:$A,0))</f>
        <v>108.483307217894</v>
      </c>
      <c r="Y9" s="23" t="n">
        <f aca="false">INDEX('Green Street National'!$C:$C,MATCH(2021,'Green Street National'!$A:$A,0))</f>
        <v>-0.05368289</v>
      </c>
      <c r="Z9" s="23" t="n">
        <f aca="false">INDEX('CoStar - US Office'!$D:$D,MATCH(2021,'CoStar - US Office'!$A:$A,0))</f>
        <v>-0.0105225814311321</v>
      </c>
      <c r="AA9" s="9" t="n">
        <f aca="false">INDEX('CoStar - US Office'!$F:$F,MATCH(2021,'CoStar - US Office'!$A:$A,0))</f>
        <v>34.3147010369627</v>
      </c>
      <c r="AB9" s="23" t="n">
        <f aca="false">INDEX('CoStar - US Office'!$C:$C,MATCH(2021,'CoStar - US Office'!$A:$A,0))</f>
        <v>0.881820255291229</v>
      </c>
      <c r="AC9" s="9" t="n">
        <f aca="false">AC8*(1+INDEX('Green Street National'!$C:$C,MATCH(2021,'Green Street National'!$A:$A,0)))</f>
        <v>93.1790698234918</v>
      </c>
      <c r="AE9" s="24" t="str">
        <f aca="false">IF(N(L8)=0,"",TEXT(L9/L8-1,"+0%;-0%"))</f>
        <v>+6%</v>
      </c>
      <c r="AF9" s="24" t="str">
        <f aca="false">IF(N(N8)=0,"",TEXT(N9/N8-1,"+0%;-0%"))</f>
        <v>+8%</v>
      </c>
    </row>
    <row r="10" customFormat="false" ht="15" hidden="false" customHeight="true" outlineLevel="0" collapsed="false">
      <c r="A10" s="22" t="n">
        <v>2022</v>
      </c>
      <c r="B10" s="14" t="n">
        <f aca="false">Composite!Z11</f>
        <v>0.0764503926820929</v>
      </c>
      <c r="C10" s="14" t="n">
        <f aca="false">Composite!Y11</f>
        <v>0.0388</v>
      </c>
      <c r="D10" s="14" t="n">
        <f aca="false">B10-C10</f>
        <v>0.0376503926820929</v>
      </c>
      <c r="E10" s="14" t="n">
        <f aca="false">Composite!AA11</f>
        <v>0.13383270768934</v>
      </c>
      <c r="F10" s="14" t="n">
        <f aca="false">E10-B10</f>
        <v>0.0573823150072467</v>
      </c>
      <c r="G10" s="14" t="n">
        <f aca="false">INDEX('CoStar - US Office'!$B:$B,MATCH(2022,'CoStar - US Office'!$A:$A,0))</f>
        <v>0.123824681505529</v>
      </c>
      <c r="H10" s="14" t="n">
        <f aca="false">INDEX('CoStar - US Office'!$E:$E,MATCH(2022,'CoStar - US Office'!$A:$A,0))</f>
        <v>0.0187735469192038</v>
      </c>
      <c r="I10" s="14" t="n">
        <f aca="false">INDEX('CoStar - US Office'!$H:$H,MATCH(2022,'CoStar - US Office'!$A:$A,0))</f>
        <v>0.00478830885082243</v>
      </c>
      <c r="J10" s="15" t="n">
        <f aca="false">Composite!AB11</f>
        <v>13.0803775483318</v>
      </c>
      <c r="K10" s="15" t="n">
        <f aca="false">Composite!AC11</f>
        <v>7.47201500489148</v>
      </c>
      <c r="L10" s="9" t="n">
        <f aca="false">Composite!B11</f>
        <v>1456.10309964368</v>
      </c>
      <c r="M10" s="9" t="n">
        <f aca="false">Composite!Q11</f>
        <v>19046.3782926355</v>
      </c>
      <c r="N10" s="9" t="n">
        <f aca="false">Composite!D11</f>
        <v>1105.41060127185</v>
      </c>
      <c r="O10" s="9" t="n">
        <f aca="false">Composite!K11</f>
        <v>8259.64459926937</v>
      </c>
      <c r="P10" s="14" t="n">
        <f aca="false">INDEX('Prime Rate'!$B:$B,MATCH(2022,'Prime Rate'!$A:$A,0))</f>
        <v>0.0485</v>
      </c>
      <c r="Q10" s="9" t="n">
        <f aca="false">M10-L10</f>
        <v>17590.2751929919</v>
      </c>
      <c r="R10" s="9" t="n">
        <f aca="false">O10-N10</f>
        <v>7154.23399799752</v>
      </c>
      <c r="S10" s="23" t="n">
        <f aca="false">INDEX(Inflation!$G:$G,MATCH(2022,Inflation!$A:$A,0))</f>
        <v>0.0799083303502561</v>
      </c>
      <c r="T10" s="14" t="n">
        <f aca="false">INDEX('Green Street National'!$D:$D,MATCH(2022,'Green Street National'!$A:$A,0))</f>
        <v>0.07948753</v>
      </c>
      <c r="U10" s="9" t="n">
        <f aca="false">INDEX('Green Street National'!$F:$F,MATCH(2022,'Green Street National'!$A:$A,0))</f>
        <v>75.3039532955945</v>
      </c>
      <c r="V10" s="9" t="n">
        <f aca="false">INDEX(Inflation!$D:$D,MATCH(2022,Inflation!$A:$A,0))</f>
        <v>144.713064056365</v>
      </c>
      <c r="W10" s="9" t="n">
        <f aca="false">INDEX(Inflation!$E:$E,MATCH(2022,Inflation!$A:$A,0))</f>
        <v>121.924959896669</v>
      </c>
      <c r="X10" s="9" t="n">
        <f aca="false">INDEX('CoStar - US Office'!$G:$G,MATCH(2022,'CoStar - US Office'!$A:$A,0))</f>
        <v>110.5199236759</v>
      </c>
      <c r="Y10" s="23" t="n">
        <f aca="false">INDEX('Green Street National'!$C:$C,MATCH(2022,'Green Street National'!$A:$A,0))</f>
        <v>-0.03718453</v>
      </c>
      <c r="Z10" s="23" t="n">
        <f aca="false">INDEX('CoStar - US Office'!$D:$D,MATCH(2022,'CoStar - US Office'!$A:$A,0))</f>
        <v>-0.00564493679675804</v>
      </c>
      <c r="AA10" s="9" t="n">
        <f aca="false">INDEX('CoStar - US Office'!$F:$F,MATCH(2022,'CoStar - US Office'!$A:$A,0))</f>
        <v>34.9589096868985</v>
      </c>
      <c r="AB10" s="23" t="n">
        <f aca="false">INDEX('CoStar - US Office'!$C:$C,MATCH(2022,'CoStar - US Office'!$A:$A,0))</f>
        <v>0.876175318494471</v>
      </c>
      <c r="AC10" s="9" t="n">
        <f aca="false">AC9*(1+INDEX('Green Street National'!$C:$C,MATCH(2022,'Green Street National'!$A:$A,0)))</f>
        <v>89.7142499062681</v>
      </c>
      <c r="AE10" s="24" t="str">
        <f aca="false">IF(N(L9)=0,"",TEXT(L10/L9-1,"+0%;-0%"))</f>
        <v>+9%</v>
      </c>
      <c r="AF10" s="24" t="str">
        <f aca="false">IF(N(N9)=0,"",TEXT(N10/N9-1,"+0%;-0%"))</f>
        <v>+8%</v>
      </c>
    </row>
    <row r="11" customFormat="false" ht="15" hidden="false" customHeight="true" outlineLevel="0" collapsed="false">
      <c r="A11" s="22" t="n">
        <v>2023</v>
      </c>
      <c r="B11" s="14" t="n">
        <f aca="false">Composite!Z10</f>
        <v>0.0748352349108724</v>
      </c>
      <c r="C11" s="14" t="n">
        <f aca="false">Composite!Y10</f>
        <v>0.0388</v>
      </c>
      <c r="D11" s="14" t="n">
        <f aca="false">B11-C11</f>
        <v>0.0360352349108724</v>
      </c>
      <c r="E11" s="14" t="n">
        <f aca="false">Composite!AA10</f>
        <v>0.125202927263371</v>
      </c>
      <c r="F11" s="14" t="n">
        <f aca="false">E11-B11</f>
        <v>0.0503676923524987</v>
      </c>
      <c r="G11" s="14" t="n">
        <f aca="false">INDEX('CoStar - US Office'!$B:$B,MATCH(2023,'CoStar - US Office'!$A:$A,0))</f>
        <v>0.134795325216733</v>
      </c>
      <c r="H11" s="14" t="n">
        <f aca="false">INDEX('CoStar - US Office'!$E:$E,MATCH(2023,'CoStar - US Office'!$A:$A,0))</f>
        <v>0.0103504011943532</v>
      </c>
      <c r="I11" s="14" t="n">
        <f aca="false">INDEX('CoStar - US Office'!$H:$H,MATCH(2023,'CoStar - US Office'!$A:$A,0))</f>
        <v>0.00346617437648096</v>
      </c>
      <c r="J11" s="15" t="n">
        <f aca="false">Composite!AB10</f>
        <v>13.3626893961245</v>
      </c>
      <c r="K11" s="15" t="n">
        <f aca="false">Composite!AC10</f>
        <v>7.98703370486256</v>
      </c>
      <c r="L11" s="9" t="n">
        <f aca="false">Composite!B10</f>
        <v>1553.93901275868</v>
      </c>
      <c r="M11" s="9" t="n">
        <f aca="false">Composite!Q10</f>
        <v>20764.8043680146</v>
      </c>
      <c r="N11" s="9" t="n">
        <f aca="false">Composite!D10</f>
        <v>1078.8968853363</v>
      </c>
      <c r="O11" s="9" t="n">
        <f aca="false">Composite!K10</f>
        <v>8617.18578725228</v>
      </c>
      <c r="P11" s="14" t="n">
        <f aca="false">INDEX('Prime Rate'!$B:$B,MATCH(2023,'Prime Rate'!$A:$A,0))</f>
        <v>0.0819</v>
      </c>
      <c r="Q11" s="9" t="n">
        <f aca="false">M11-L11</f>
        <v>19210.8653552559</v>
      </c>
      <c r="R11" s="9" t="n">
        <f aca="false">O11-N11</f>
        <v>7538.28890191598</v>
      </c>
      <c r="S11" s="23" t="n">
        <f aca="false">INDEX(Inflation!$G:$G,MATCH(2023,Inflation!$A:$A,0))</f>
        <v>0.0412711105643382</v>
      </c>
      <c r="T11" s="14" t="n">
        <f aca="false">INDEX('Green Street National'!$D:$D,MATCH(2023,'Green Street National'!$A:$A,0))</f>
        <v>0.10690485</v>
      </c>
      <c r="U11" s="9" t="n">
        <f aca="false">INDEX('Green Street National'!$F:$F,MATCH(2023,'Green Street National'!$A:$A,0))</f>
        <v>44.7050530590909</v>
      </c>
      <c r="V11" s="9" t="n">
        <f aca="false">INDEX(Inflation!$D:$D,MATCH(2023,Inflation!$A:$A,0))</f>
        <v>156.117893831012</v>
      </c>
      <c r="W11" s="9" t="n">
        <f aca="false">INDEX(Inflation!$E:$E,MATCH(2023,Inflation!$A:$A,0))</f>
        <v>126.956938397117</v>
      </c>
      <c r="X11" s="9" t="n">
        <f aca="false">INDEX('CoStar - US Office'!$G:$G,MATCH(2023,'CoStar - US Office'!$A:$A,0))</f>
        <v>111.663849225915</v>
      </c>
      <c r="Y11" s="23" t="n">
        <f aca="false">INDEX('Green Street National'!$C:$C,MATCH(2023,'Green Street National'!$A:$A,0))</f>
        <v>-0.05284114</v>
      </c>
      <c r="Z11" s="23" t="n">
        <f aca="false">INDEX('CoStar - US Office'!$D:$D,MATCH(2023,'CoStar - US Office'!$A:$A,0))</f>
        <v>-0.0109706437112039</v>
      </c>
      <c r="AA11" s="9" t="n">
        <f aca="false">INDEX('CoStar - US Office'!$F:$F,MATCH(2023,'CoStar - US Office'!$A:$A,0))</f>
        <v>35.3207484274751</v>
      </c>
      <c r="AB11" s="23" t="n">
        <f aca="false">INDEX('CoStar - US Office'!$C:$C,MATCH(2023,'CoStar - US Office'!$A:$A,0))</f>
        <v>0.865204674783267</v>
      </c>
      <c r="AC11" s="9" t="n">
        <f aca="false">AC10*(1+INDEX('Green Street National'!$C:$C,MATCH(2023,'Green Street National'!$A:$A,0)))</f>
        <v>84.973646666976</v>
      </c>
      <c r="AE11" s="24" t="str">
        <f aca="false">IF(N(L10)=0,"",TEXT(L11/L10-1,"+0%;-0%"))</f>
        <v>+7%</v>
      </c>
      <c r="AF11" s="24" t="str">
        <f aca="false">IF(N(N10)=0,"",TEXT(N11/N10-1,"+0%;-0%"))</f>
        <v>-2%</v>
      </c>
    </row>
    <row r="12" customFormat="false" ht="15" hidden="false" customHeight="true" outlineLevel="0" collapsed="false">
      <c r="A12" s="22" t="n">
        <v>2024</v>
      </c>
      <c r="B12" s="14" t="n">
        <f aca="false">Composite!Z9</f>
        <v>0.0721241026206825</v>
      </c>
      <c r="C12" s="14" t="n">
        <f aca="false">Composite!Y9</f>
        <v>0.0458</v>
      </c>
      <c r="D12" s="14" t="n">
        <f aca="false">B12-C12</f>
        <v>0.0263241026206825</v>
      </c>
      <c r="E12" s="14" t="n">
        <f aca="false">Composite!AA9</f>
        <v>0.112915608421714</v>
      </c>
      <c r="F12" s="14" t="n">
        <f aca="false">E12-B12</f>
        <v>0.0407915058010311</v>
      </c>
      <c r="G12" s="14" t="n">
        <f aca="false">INDEX('CoStar - US Office'!$B:$B,MATCH(2024,'CoStar - US Office'!$A:$A,0))</f>
        <v>0.139554020907488</v>
      </c>
      <c r="H12" s="14" t="n">
        <f aca="false">INDEX('CoStar - US Office'!$E:$E,MATCH(2024,'CoStar - US Office'!$A:$A,0))</f>
        <v>0.019598676299831</v>
      </c>
      <c r="I12" s="14" t="n">
        <f aca="false">INDEX('CoStar - US Office'!$H:$H,MATCH(2024,'CoStar - US Office'!$A:$A,0))</f>
        <v>0.00153700761683326</v>
      </c>
      <c r="J12" s="15" t="n">
        <f aca="false">Composite!AB9</f>
        <v>13.8649905324886</v>
      </c>
      <c r="K12" s="15" t="n">
        <f aca="false">Composite!AC9</f>
        <v>8.85617156013748</v>
      </c>
      <c r="L12" s="9" t="n">
        <f aca="false">Composite!B9</f>
        <v>1509.83974407045</v>
      </c>
      <c r="M12" s="9" t="n">
        <f aca="false">Composite!Q9</f>
        <v>20933.9137571118</v>
      </c>
      <c r="N12" s="9" t="n">
        <f aca="false">Composite!D9</f>
        <v>1017.41508227366</v>
      </c>
      <c r="O12" s="9" t="n">
        <f aca="false">Composite!K9</f>
        <v>9010.40251648692</v>
      </c>
      <c r="P12" s="14" t="n">
        <f aca="false">INDEX('Prime Rate'!$B:$B,MATCH(2024,'Prime Rate'!$A:$A,0))</f>
        <v>0.0831</v>
      </c>
      <c r="Q12" s="9" t="n">
        <f aca="false">M12-L12</f>
        <v>19424.0740130413</v>
      </c>
      <c r="R12" s="9" t="n">
        <f aca="false">O12-N12</f>
        <v>7992.98743421326</v>
      </c>
      <c r="S12" s="23" t="n">
        <f aca="false">INDEX(Inflation!$G:$G,MATCH(2024,Inflation!$A:$A,0))</f>
        <v>0.0295205495187116</v>
      </c>
      <c r="T12" s="14" t="n">
        <f aca="false">INDEX('Green Street National'!$D:$D,MATCH(2024,'Green Street National'!$A:$A,0))</f>
        <v>0.10737802</v>
      </c>
      <c r="U12" s="9" t="n">
        <f aca="false">INDEX('Green Street National'!$F:$F,MATCH(2024,'Green Street National'!$A:$A,0))</f>
        <v>43.6731644078836</v>
      </c>
      <c r="V12" s="9" t="n">
        <f aca="false">INDEX(Inflation!$D:$D,MATCH(2024,Inflation!$A:$A,0))</f>
        <v>156.281037666505</v>
      </c>
      <c r="W12" s="9" t="n">
        <f aca="false">INDEX(Inflation!$E:$E,MATCH(2024,Inflation!$A:$A,0))</f>
        <v>130.704776983813</v>
      </c>
      <c r="X12" s="9" t="n">
        <f aca="false">INDEX('CoStar - US Office'!$G:$G,MATCH(2024,'CoStar - US Office'!$A:$A,0))</f>
        <v>113.852312861286</v>
      </c>
      <c r="Y12" s="23" t="n">
        <f aca="false">INDEX('Green Street National'!$C:$C,MATCH(2024,'Green Street National'!$A:$A,0))</f>
        <v>-0.01855455</v>
      </c>
      <c r="Z12" s="23" t="n">
        <f aca="false">INDEX('CoStar - US Office'!$D:$D,MATCH(2024,'CoStar - US Office'!$A:$A,0))</f>
        <v>-0.00475869569075504</v>
      </c>
      <c r="AA12" s="9" t="n">
        <f aca="false">INDEX('CoStar - US Office'!$F:$F,MATCH(2024,'CoStar - US Office'!$A:$A,0))</f>
        <v>36.0129883425729</v>
      </c>
      <c r="AB12" s="23" t="n">
        <f aca="false">INDEX('CoStar - US Office'!$C:$C,MATCH(2024,'CoStar - US Office'!$A:$A,0))</f>
        <v>0.860445979092512</v>
      </c>
      <c r="AC12" s="9" t="n">
        <f aca="false">AC11*(1+INDEX('Green Street National'!$C:$C,MATCH(2024,'Green Street National'!$A:$A,0)))</f>
        <v>83.3969988912113</v>
      </c>
      <c r="AE12" s="24" t="str">
        <f aca="false">IF(N(L11)=0,"",TEXT(L12/L11-1,"+0%;-0%"))</f>
        <v>-3%</v>
      </c>
      <c r="AF12" s="24" t="str">
        <f aca="false">IF(N(N11)=0,"",TEXT(N12/N11-1,"+0%;-0%"))</f>
        <v>-6%</v>
      </c>
    </row>
    <row r="13" customFormat="false" ht="15" hidden="false" customHeight="true" outlineLevel="0" collapsed="false">
      <c r="A13" s="22" t="n">
        <v>2025</v>
      </c>
      <c r="B13" s="14" t="n">
        <f aca="false">Composite!Z8</f>
        <v>0.0767767067826269</v>
      </c>
      <c r="C13" s="14" t="n">
        <f aca="false">Composite!Y8</f>
        <v>0.0418</v>
      </c>
      <c r="D13" s="14" t="n">
        <f aca="false">B13-C13</f>
        <v>0.0349767067826269</v>
      </c>
      <c r="E13" s="14" t="n">
        <f aca="false">Composite!AA8</f>
        <v>0.133037417918071</v>
      </c>
      <c r="F13" s="14" t="n">
        <f aca="false">E13-B13</f>
        <v>0.0562607111354443</v>
      </c>
      <c r="G13" s="14" t="n">
        <f aca="false">INDEX('CoStar - US Office'!$B:$B,MATCH(2025,'CoStar - US Office'!$A:$A,0))</f>
        <v>0.140381422408093</v>
      </c>
      <c r="H13" s="14" t="n">
        <f aca="false">INDEX('CoStar - US Office'!$E:$E,MATCH(2025,'CoStar - US Office'!$A:$A,0))</f>
        <v>0.0206668157739647</v>
      </c>
      <c r="I13" s="14" t="n">
        <f aca="false">INDEX('CoStar - US Office'!$H:$H,MATCH(2025,'CoStar - US Office'!$A:$A,0))</f>
        <v>-0.00016404557269249</v>
      </c>
      <c r="J13" s="15" t="n">
        <f aca="false">Composite!AB8</f>
        <v>13.0247837124772</v>
      </c>
      <c r="K13" s="15" t="n">
        <f aca="false">Composite!AC8</f>
        <v>7.51668226615637</v>
      </c>
      <c r="L13" s="9" t="n">
        <f aca="false">Composite!B8</f>
        <v>1521.68820971578</v>
      </c>
      <c r="M13" s="9" t="n">
        <f aca="false">Composite!Q8</f>
        <v>19819.6598093748</v>
      </c>
      <c r="N13" s="9" t="n">
        <f aca="false">Composite!D8</f>
        <v>1021.04261486838</v>
      </c>
      <c r="O13" s="9" t="n">
        <f aca="false">Composite!K8</f>
        <v>7674.85291617109</v>
      </c>
      <c r="P13" s="14" t="n">
        <f aca="false">INDEX('Prime Rate'!$B:$B,MATCH(2025,'Prime Rate'!$A:$A,0))</f>
        <v>0.0737</v>
      </c>
      <c r="Q13" s="9" t="n">
        <f aca="false">M13-L13</f>
        <v>18297.971599659</v>
      </c>
      <c r="R13" s="9" t="n">
        <f aca="false">O13-N13</f>
        <v>6653.81030130271</v>
      </c>
      <c r="S13" s="23" t="n">
        <f aca="false">INDEX(Inflation!$G:$G,MATCH(2025,Inflation!$A:$A,0))</f>
        <v>0.0263438083762091</v>
      </c>
      <c r="T13" s="14" t="n">
        <f aca="false">INDEX('Green Street National'!$D:$D,MATCH(2025,'Green Street National'!$A:$A,0))</f>
        <v>0.1048993</v>
      </c>
      <c r="U13" s="9" t="n">
        <f aca="false">INDEX('Green Street National'!$F:$F,MATCH(2025,'Green Street National'!$A:$A,0))</f>
        <v>44.169712307612</v>
      </c>
      <c r="V13" s="9" t="n">
        <f aca="false">INDEX(Inflation!$D:$D,MATCH(2025,Inflation!$A:$A,0))</f>
        <v>158.821420247764</v>
      </c>
      <c r="W13" s="9" t="n">
        <f aca="false">INDEX(Inflation!$E:$E,MATCH(2025,Inflation!$A:$A,0))</f>
        <v>134.14803858253</v>
      </c>
      <c r="X13" s="9" t="n">
        <f aca="false">INDEX('CoStar - US Office'!$G:$G,MATCH(2025,'CoStar - US Office'!$A:$A,0))</f>
        <v>116.20527763663</v>
      </c>
      <c r="Y13" s="23" t="n">
        <f aca="false">INDEX('Green Street National'!$C:$C,MATCH(2025,'Green Street National'!$A:$A,0))</f>
        <v>0.00073864</v>
      </c>
      <c r="Z13" s="23" t="n">
        <f aca="false">INDEX('CoStar - US Office'!$D:$D,MATCH(2025,'CoStar - US Office'!$A:$A,0))</f>
        <v>-0.000827401500605007</v>
      </c>
      <c r="AA13" s="9" t="n">
        <f aca="false">INDEX('CoStar - US Office'!$F:$F,MATCH(2025,'CoStar - US Office'!$A:$A,0))</f>
        <v>36.7572621381188</v>
      </c>
      <c r="AB13" s="23" t="n">
        <f aca="false">INDEX('CoStar - US Office'!$C:$C,MATCH(2025,'CoStar - US Office'!$A:$A,0))</f>
        <v>0.859618577591907</v>
      </c>
      <c r="AC13" s="9" t="n">
        <f aca="false">AC12*(1+INDEX('Green Street National'!$C:$C,MATCH(2025,'Green Street National'!$A:$A,0)))</f>
        <v>83.4585992504723</v>
      </c>
      <c r="AE13" s="24" t="str">
        <f aca="false">IF(N(L12)=0,"",TEXT(L13/L12-1,"+0%;-0%"))</f>
        <v>+1%</v>
      </c>
      <c r="AF13" s="24" t="str">
        <f aca="false">IF(N(N12)=0,"",TEXT(N13/N12-1,"+0%;-0%"))</f>
        <v>+0%</v>
      </c>
    </row>
    <row r="15" customFormat="false" ht="15" hidden="false" customHeight="true" outlineLevel="0" collapsed="false">
      <c r="A15" s="6" t="s">
        <v>535</v>
      </c>
    </row>
    <row r="16" customFormat="false" ht="15" hidden="false" customHeight="true" outlineLevel="0" collapsed="false">
      <c r="A16" s="18" t="s">
        <v>668</v>
      </c>
    </row>
    <row r="17" customFormat="false" ht="15" hidden="false" customHeight="true" outlineLevel="0" collapsed="false">
      <c r="A17" s="18" t="s">
        <v>537</v>
      </c>
    </row>
    <row r="18" customFormat="false" ht="15" hidden="false" customHeight="true" outlineLevel="0" collapsed="false">
      <c r="A18" s="18" t="s">
        <v>538</v>
      </c>
    </row>
    <row r="19" customFormat="false" ht="15" hidden="false" customHeight="true" outlineLevel="0" collapsed="false">
      <c r="A19" s="18" t="s">
        <v>669</v>
      </c>
    </row>
    <row r="20" customFormat="false" ht="15" hidden="false" customHeight="true" outlineLevel="0" collapsed="false">
      <c r="A20" s="18" t="s">
        <v>540</v>
      </c>
    </row>
    <row r="21" customFormat="false" ht="15" hidden="false" customHeight="true" outlineLevel="0" collapsed="false">
      <c r="A21" s="18" t="s">
        <v>541</v>
      </c>
    </row>
    <row r="22" customFormat="false" ht="15" hidden="false" customHeight="true" outlineLevel="0" collapsed="false">
      <c r="A22" s="18" t="s">
        <v>542</v>
      </c>
    </row>
    <row r="23" customFormat="false" ht="15" hidden="false" customHeight="true" outlineLevel="0" collapsed="false">
      <c r="A23" s="18" t="s">
        <v>543</v>
      </c>
    </row>
    <row r="24" customFormat="false" ht="15" hidden="false" customHeight="true" outlineLevel="0" collapsed="false">
      <c r="A24" s="18" t="s">
        <v>544</v>
      </c>
    </row>
    <row r="25" customFormat="false" ht="15" hidden="false" customHeight="true" outlineLevel="0" collapsed="false">
      <c r="A25" s="18" t="s">
        <v>545</v>
      </c>
    </row>
    <row r="26" customFormat="false" ht="15" hidden="false" customHeight="true" outlineLevel="0" collapsed="false">
      <c r="A26" s="18" t="s">
        <v>670</v>
      </c>
    </row>
    <row r="27" customFormat="false" ht="15" hidden="false" customHeight="true" outlineLevel="0" collapsed="false">
      <c r="A27" s="18" t="s">
        <v>547</v>
      </c>
    </row>
    <row r="28" customFormat="false" ht="15" hidden="false" customHeight="true" outlineLevel="0" collapsed="false">
      <c r="A28" s="18" t="s">
        <v>671</v>
      </c>
    </row>
    <row r="29" customFormat="false" ht="15" hidden="false" customHeight="true" outlineLevel="0" collapsed="false">
      <c r="A29" s="18" t="s">
        <v>549</v>
      </c>
    </row>
    <row r="30" customFormat="false" ht="15" hidden="false" customHeight="true" outlineLevel="0" collapsed="false">
      <c r="A30" s="18" t="s">
        <v>550</v>
      </c>
    </row>
    <row r="31" customFormat="false" ht="15" hidden="false" customHeight="true" outlineLevel="0" collapsed="false">
      <c r="A31" s="18" t="s">
        <v>551</v>
      </c>
    </row>
    <row r="32" customFormat="false" ht="15" hidden="false" customHeight="true" outlineLevel="0" collapsed="false">
      <c r="A32" s="18" t="s">
        <v>552</v>
      </c>
    </row>
    <row r="33" customFormat="false" ht="15" hidden="false" customHeight="true" outlineLevel="0" collapsed="false">
      <c r="A33" s="18" t="s">
        <v>553</v>
      </c>
    </row>
    <row r="34" customFormat="false" ht="15" hidden="false" customHeight="true" outlineLevel="0" collapsed="false">
      <c r="A34" s="18" t="s">
        <v>554</v>
      </c>
    </row>
    <row r="35" customFormat="false" ht="15" hidden="false" customHeight="true" outlineLevel="0" collapsed="false">
      <c r="A35" s="18" t="s">
        <v>555</v>
      </c>
    </row>
    <row r="36" customFormat="false" ht="15" hidden="false" customHeight="true" outlineLevel="0" collapsed="false">
      <c r="A36" s="18" t="s">
        <v>556</v>
      </c>
    </row>
    <row r="37" customFormat="false" ht="15" hidden="false" customHeight="true" outlineLevel="0" collapsed="false">
      <c r="A37" s="18" t="s">
        <v>557</v>
      </c>
    </row>
    <row r="38" customFormat="false" ht="15" hidden="false" customHeight="true" outlineLevel="0" collapsed="false">
      <c r="A38" s="18" t="s">
        <v>558</v>
      </c>
    </row>
    <row r="39" customFormat="false" ht="15" hidden="false" customHeight="true" outlineLevel="0" collapsed="false">
      <c r="A39" s="18" t="s">
        <v>559</v>
      </c>
    </row>
    <row r="40" customFormat="false" ht="15" hidden="false" customHeight="true" outlineLevel="0" collapsed="false">
      <c r="A40" s="18" t="s">
        <v>560</v>
      </c>
    </row>
    <row r="41" customFormat="false" ht="15" hidden="false" customHeight="true" outlineLevel="0" collapsed="false">
      <c r="A41" s="18" t="s">
        <v>561</v>
      </c>
    </row>
    <row r="42" customFormat="false" ht="15" hidden="false" customHeight="true" outlineLevel="0" collapsed="false">
      <c r="A42" s="18" t="s">
        <v>562</v>
      </c>
    </row>
    <row r="43" customFormat="false" ht="15" hidden="false" customHeight="true" outlineLevel="0" collapsed="false">
      <c r="A43" s="18" t="s">
        <v>563</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2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8" min="1" style="1" width="15"/>
  </cols>
  <sheetData>
    <row r="1" customFormat="false" ht="15" hidden="false" customHeight="true" outlineLevel="0" collapsed="false">
      <c r="A1" s="4" t="s">
        <v>672</v>
      </c>
    </row>
    <row r="2" customFormat="false" ht="15" hidden="false" customHeight="true" outlineLevel="0" collapsed="false">
      <c r="A2" s="18" t="s">
        <v>673</v>
      </c>
    </row>
    <row r="4" customFormat="false" ht="15" hidden="false" customHeight="true" outlineLevel="0" collapsed="false">
      <c r="A4" s="2" t="s">
        <v>674</v>
      </c>
      <c r="B4" s="2" t="s">
        <v>675</v>
      </c>
      <c r="C4" s="2" t="s">
        <v>676</v>
      </c>
      <c r="D4" s="2" t="s">
        <v>677</v>
      </c>
      <c r="E4" s="2" t="s">
        <v>678</v>
      </c>
      <c r="F4" s="2" t="s">
        <v>679</v>
      </c>
      <c r="G4" s="2" t="s">
        <v>680</v>
      </c>
      <c r="H4" s="2" t="s">
        <v>681</v>
      </c>
    </row>
    <row r="5" customFormat="false" ht="15" hidden="false" customHeight="true" outlineLevel="0" collapsed="false">
      <c r="A5" s="22" t="n">
        <v>2016</v>
      </c>
      <c r="B5" s="17" t="n">
        <v>0.0970735517913501</v>
      </c>
      <c r="C5" s="16" t="n">
        <v>0.90292644820865</v>
      </c>
      <c r="D5" s="27" t="s">
        <v>682</v>
      </c>
      <c r="E5" s="17" t="n">
        <v>0.031547647151038</v>
      </c>
      <c r="F5" s="28" t="n">
        <v>31.6313190637154</v>
      </c>
      <c r="G5" s="29" t="n">
        <v>100</v>
      </c>
      <c r="H5" s="17" t="n">
        <v>0.0055196739996702</v>
      </c>
    </row>
    <row r="6" customFormat="false" ht="15" hidden="false" customHeight="true" outlineLevel="0" collapsed="false">
      <c r="A6" s="22" t="n">
        <v>2017</v>
      </c>
      <c r="B6" s="17" t="n">
        <v>0.0954879748749349</v>
      </c>
      <c r="C6" s="16" t="n">
        <v>0.904512025125065</v>
      </c>
      <c r="D6" s="16" t="n">
        <v>0.00158557691641525</v>
      </c>
      <c r="E6" s="17" t="n">
        <v>0.0238303537312997</v>
      </c>
      <c r="F6" s="28" t="n">
        <v>32.3851045859914</v>
      </c>
      <c r="G6" s="29" t="n">
        <v>102.38303537313</v>
      </c>
      <c r="H6" s="17" t="n">
        <v>0.0069526825011159</v>
      </c>
    </row>
    <row r="7" customFormat="false" ht="15" hidden="false" customHeight="true" outlineLevel="0" collapsed="false">
      <c r="A7" s="22" t="n">
        <v>2018</v>
      </c>
      <c r="B7" s="17" t="n">
        <v>0.0932114558152037</v>
      </c>
      <c r="C7" s="16" t="n">
        <v>0.906788544184796</v>
      </c>
      <c r="D7" s="16" t="n">
        <v>0.00227651905973114</v>
      </c>
      <c r="E7" s="17" t="n">
        <v>0.0302878208785191</v>
      </c>
      <c r="F7" s="28" t="n">
        <v>33.365978832824</v>
      </c>
      <c r="G7" s="29" t="n">
        <v>105.483994409511</v>
      </c>
      <c r="H7" s="17" t="n">
        <v>0.00664155934340847</v>
      </c>
    </row>
    <row r="8" customFormat="false" ht="15" hidden="false" customHeight="true" outlineLevel="0" collapsed="false">
      <c r="A8" s="22" t="n">
        <v>2019</v>
      </c>
      <c r="B8" s="17" t="n">
        <v>0.0935992552144097</v>
      </c>
      <c r="C8" s="16" t="n">
        <v>0.90640074478559</v>
      </c>
      <c r="D8" s="16" t="n">
        <v>-0.000387799399205968</v>
      </c>
      <c r="E8" s="17" t="n">
        <v>0.0354820605592993</v>
      </c>
      <c r="F8" s="28" t="n">
        <v>34.5498725143906</v>
      </c>
      <c r="G8" s="29" t="n">
        <v>109.226783887186</v>
      </c>
      <c r="H8" s="17" t="n">
        <v>0.0067202786358476</v>
      </c>
    </row>
    <row r="9" customFormat="false" ht="15" hidden="false" customHeight="true" outlineLevel="0" collapsed="false">
      <c r="A9" s="22" t="n">
        <v>2020</v>
      </c>
      <c r="B9" s="17" t="n">
        <v>0.107657163277639</v>
      </c>
      <c r="C9" s="16" t="n">
        <v>0.892342836722361</v>
      </c>
      <c r="D9" s="16" t="n">
        <v>-0.0140579080632293</v>
      </c>
      <c r="E9" s="17" t="n">
        <v>-0.0155535025524075</v>
      </c>
      <c r="F9" s="28" t="n">
        <v>34.0125009840526</v>
      </c>
      <c r="G9" s="29" t="n">
        <v>107.527924825205</v>
      </c>
      <c r="H9" s="17" t="n">
        <v>0.00631100374992295</v>
      </c>
    </row>
    <row r="10" customFormat="false" ht="15" hidden="false" customHeight="true" outlineLevel="0" collapsed="false">
      <c r="A10" s="22" t="n">
        <v>2021</v>
      </c>
      <c r="B10" s="17" t="n">
        <v>0.118179744708771</v>
      </c>
      <c r="C10" s="16" t="n">
        <v>0.881820255291229</v>
      </c>
      <c r="D10" s="16" t="n">
        <v>-0.0105225814311321</v>
      </c>
      <c r="E10" s="17" t="n">
        <v>0.00888497006002991</v>
      </c>
      <c r="F10" s="28" t="n">
        <v>34.3147010369627</v>
      </c>
      <c r="G10" s="29" t="n">
        <v>108.483307217894</v>
      </c>
      <c r="H10" s="17" t="n">
        <v>0.00599925350302214</v>
      </c>
    </row>
    <row r="11" customFormat="false" ht="15" hidden="false" customHeight="true" outlineLevel="0" collapsed="false">
      <c r="A11" s="22" t="n">
        <v>2022</v>
      </c>
      <c r="B11" s="17" t="n">
        <v>0.123824681505529</v>
      </c>
      <c r="C11" s="16" t="n">
        <v>0.876175318494471</v>
      </c>
      <c r="D11" s="16" t="n">
        <v>-0.00564493679675804</v>
      </c>
      <c r="E11" s="17" t="n">
        <v>0.0187735469192038</v>
      </c>
      <c r="F11" s="28" t="n">
        <v>34.9589096868985</v>
      </c>
      <c r="G11" s="29" t="n">
        <v>110.5199236759</v>
      </c>
      <c r="H11" s="17" t="n">
        <v>0.00478830885082243</v>
      </c>
    </row>
    <row r="12" customFormat="false" ht="15" hidden="false" customHeight="true" outlineLevel="0" collapsed="false">
      <c r="A12" s="22" t="n">
        <v>2023</v>
      </c>
      <c r="B12" s="17" t="n">
        <v>0.134795325216733</v>
      </c>
      <c r="C12" s="16" t="n">
        <v>0.865204674783267</v>
      </c>
      <c r="D12" s="16" t="n">
        <v>-0.0109706437112039</v>
      </c>
      <c r="E12" s="17" t="n">
        <v>0.0103504011943532</v>
      </c>
      <c r="F12" s="28" t="n">
        <v>35.3207484274751</v>
      </c>
      <c r="G12" s="29" t="n">
        <v>111.663849225915</v>
      </c>
      <c r="H12" s="17" t="n">
        <v>0.00346617437648096</v>
      </c>
    </row>
    <row r="13" customFormat="false" ht="15" hidden="false" customHeight="true" outlineLevel="0" collapsed="false">
      <c r="A13" s="22" t="n">
        <v>2024</v>
      </c>
      <c r="B13" s="17" t="n">
        <v>0.139554020907488</v>
      </c>
      <c r="C13" s="16" t="n">
        <v>0.860445979092512</v>
      </c>
      <c r="D13" s="16" t="n">
        <v>-0.00475869569075504</v>
      </c>
      <c r="E13" s="17" t="n">
        <v>0.019598676299831</v>
      </c>
      <c r="F13" s="28" t="n">
        <v>36.0129883425729</v>
      </c>
      <c r="G13" s="29" t="n">
        <v>113.852312861286</v>
      </c>
      <c r="H13" s="17" t="n">
        <v>0.00153700761683326</v>
      </c>
    </row>
    <row r="14" customFormat="false" ht="15" hidden="false" customHeight="true" outlineLevel="0" collapsed="false">
      <c r="A14" s="22" t="n">
        <v>2025</v>
      </c>
      <c r="B14" s="17" t="n">
        <v>0.140381422408093</v>
      </c>
      <c r="C14" s="16" t="n">
        <v>0.859618577591907</v>
      </c>
      <c r="D14" s="16" t="n">
        <v>-0.000827401500605007</v>
      </c>
      <c r="E14" s="17" t="n">
        <v>0.0206668157739647</v>
      </c>
      <c r="F14" s="28" t="n">
        <v>36.7572621381188</v>
      </c>
      <c r="G14" s="29" t="n">
        <v>116.20527763663</v>
      </c>
      <c r="H14" s="17" t="n">
        <v>-0.00016404557269249</v>
      </c>
    </row>
    <row r="16" customFormat="false" ht="15" hidden="false" customHeight="true" outlineLevel="0" collapsed="false">
      <c r="A16" s="6" t="s">
        <v>683</v>
      </c>
    </row>
    <row r="17" customFormat="false" ht="15" hidden="false" customHeight="true" outlineLevel="0" collapsed="false">
      <c r="A17" s="18" t="s">
        <v>684</v>
      </c>
    </row>
    <row r="18" customFormat="false" ht="15" hidden="false" customHeight="true" outlineLevel="0" collapsed="false">
      <c r="A18" s="18" t="s">
        <v>685</v>
      </c>
    </row>
    <row r="19" customFormat="false" ht="15" hidden="false" customHeight="true" outlineLevel="0" collapsed="false">
      <c r="A19" s="18" t="s">
        <v>686</v>
      </c>
    </row>
    <row r="20" customFormat="false" ht="15" hidden="false" customHeight="true" outlineLevel="0" collapsed="false">
      <c r="A20" s="18" t="s">
        <v>687</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2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9" min="1" style="1" width="15"/>
  </cols>
  <sheetData>
    <row r="1" customFormat="false" ht="15" hidden="false" customHeight="true" outlineLevel="0" collapsed="false">
      <c r="A1" s="4" t="s">
        <v>688</v>
      </c>
    </row>
    <row r="2" customFormat="false" ht="15" hidden="false" customHeight="true" outlineLevel="0" collapsed="false">
      <c r="A2" s="18" t="s">
        <v>689</v>
      </c>
    </row>
    <row r="3" customFormat="false" ht="15" hidden="false" customHeight="true" outlineLevel="0" collapsed="false">
      <c r="A3" s="2" t="s">
        <v>674</v>
      </c>
      <c r="B3" s="2" t="s">
        <v>690</v>
      </c>
      <c r="C3" s="2" t="s">
        <v>691</v>
      </c>
      <c r="D3" s="2" t="s">
        <v>692</v>
      </c>
      <c r="E3" s="2" t="s">
        <v>693</v>
      </c>
      <c r="F3" s="2" t="s">
        <v>694</v>
      </c>
      <c r="G3" s="2" t="s">
        <v>695</v>
      </c>
      <c r="H3" s="2" t="s">
        <v>696</v>
      </c>
      <c r="I3" s="2" t="s">
        <v>697</v>
      </c>
    </row>
    <row r="4" customFormat="false" ht="15" hidden="false" customHeight="true" outlineLevel="0" collapsed="false">
      <c r="A4" s="22" t="n">
        <v>2016</v>
      </c>
      <c r="B4" s="17" t="n">
        <v>0.01185798</v>
      </c>
      <c r="C4" s="17" t="n">
        <v>0.01895593</v>
      </c>
      <c r="D4" s="17" t="n">
        <v>0.05658714</v>
      </c>
      <c r="E4" s="30" t="n">
        <v>109.84302024</v>
      </c>
      <c r="F4" s="30" t="n">
        <v>100</v>
      </c>
      <c r="G4" s="22" t="s">
        <v>698</v>
      </c>
      <c r="H4" s="17" t="n">
        <v>0.01185798</v>
      </c>
      <c r="I4" s="17"/>
    </row>
    <row r="5" customFormat="false" ht="15" hidden="false" customHeight="true" outlineLevel="0" collapsed="false">
      <c r="A5" s="22" t="n">
        <v>2017</v>
      </c>
      <c r="B5" s="17" t="n">
        <v>0.0145198</v>
      </c>
      <c r="C5" s="17" t="n">
        <v>0.00975579</v>
      </c>
      <c r="D5" s="17" t="n">
        <v>0.05803697</v>
      </c>
      <c r="E5" s="30" t="n">
        <v>112.49484303</v>
      </c>
      <c r="F5" s="30" t="n">
        <v>102.414193258894</v>
      </c>
      <c r="G5" s="22" t="s">
        <v>698</v>
      </c>
      <c r="H5" s="17" t="n">
        <v>0.0145198</v>
      </c>
      <c r="I5" s="17"/>
    </row>
    <row r="6" customFormat="false" ht="15" hidden="false" customHeight="true" outlineLevel="0" collapsed="false">
      <c r="A6" s="22" t="n">
        <v>2018</v>
      </c>
      <c r="B6" s="17" t="n">
        <v>0.01405258</v>
      </c>
      <c r="C6" s="17" t="n">
        <v>0.02229099</v>
      </c>
      <c r="D6" s="17" t="n">
        <v>0.0583128</v>
      </c>
      <c r="E6" s="30" t="n">
        <v>112.17365416</v>
      </c>
      <c r="F6" s="30" t="n">
        <v>102.121786086096</v>
      </c>
      <c r="G6" s="22" t="s">
        <v>698</v>
      </c>
      <c r="H6" s="17" t="n">
        <v>0.01405258</v>
      </c>
      <c r="I6" s="17"/>
    </row>
    <row r="7" customFormat="false" ht="15" hidden="false" customHeight="true" outlineLevel="0" collapsed="false">
      <c r="A7" s="22" t="n">
        <v>2019</v>
      </c>
      <c r="B7" s="17" t="n">
        <v>0.01295095</v>
      </c>
      <c r="C7" s="17" t="n">
        <v>0.03556294</v>
      </c>
      <c r="D7" s="17" t="n">
        <v>0.05915908</v>
      </c>
      <c r="E7" s="30" t="n">
        <v>115.01023704</v>
      </c>
      <c r="F7" s="30" t="n">
        <v>104.704183104862</v>
      </c>
      <c r="G7" s="22" t="s">
        <v>698</v>
      </c>
      <c r="H7" s="17" t="n">
        <v>0.01295095</v>
      </c>
      <c r="I7" s="17"/>
    </row>
    <row r="8" customFormat="false" ht="15" hidden="false" customHeight="true" outlineLevel="0" collapsed="false">
      <c r="A8" s="22" t="n">
        <v>2020</v>
      </c>
      <c r="B8" s="17" t="n">
        <v>0.01580595</v>
      </c>
      <c r="C8" s="17" t="n">
        <v>-0.07888407</v>
      </c>
      <c r="D8" s="17" t="n">
        <v>0.06399001</v>
      </c>
      <c r="E8" s="30" t="n">
        <v>106.70023769</v>
      </c>
      <c r="F8" s="30" t="n">
        <v>97.1388418279712</v>
      </c>
      <c r="G8" s="22" t="s">
        <v>698</v>
      </c>
      <c r="H8" s="17" t="n">
        <v>0.01580595</v>
      </c>
      <c r="I8" s="17"/>
    </row>
    <row r="9" customFormat="false" ht="15" hidden="false" customHeight="true" outlineLevel="0" collapsed="false">
      <c r="A9" s="22" t="n">
        <v>2021</v>
      </c>
      <c r="B9" s="17" t="n">
        <v>0.01304371</v>
      </c>
      <c r="C9" s="17" t="n">
        <v>-0.05368289</v>
      </c>
      <c r="D9" s="17" t="n">
        <v>0.06497242</v>
      </c>
      <c r="E9" s="30" t="n">
        <v>106.24700504</v>
      </c>
      <c r="F9" s="30" t="n">
        <v>96.7262233029072</v>
      </c>
      <c r="G9" s="22" t="s">
        <v>698</v>
      </c>
      <c r="H9" s="17" t="n">
        <v>0.01304371</v>
      </c>
      <c r="I9" s="17"/>
    </row>
    <row r="10" customFormat="false" ht="15" hidden="false" customHeight="true" outlineLevel="0" collapsed="false">
      <c r="A10" s="22" t="n">
        <v>2022</v>
      </c>
      <c r="B10" s="17" t="n">
        <v>0.00965422</v>
      </c>
      <c r="C10" s="17" t="n">
        <v>-0.03718453</v>
      </c>
      <c r="D10" s="17" t="n">
        <v>0.07948753</v>
      </c>
      <c r="E10" s="30" t="n">
        <v>82.71613666</v>
      </c>
      <c r="F10" s="30" t="n">
        <v>75.3039532955945</v>
      </c>
      <c r="G10" s="22" t="s">
        <v>698</v>
      </c>
      <c r="H10" s="17" t="n">
        <v>0.00965422</v>
      </c>
      <c r="I10" s="17"/>
    </row>
    <row r="11" customFormat="false" ht="15" hidden="false" customHeight="true" outlineLevel="0" collapsed="false">
      <c r="A11" s="22" t="n">
        <v>2023</v>
      </c>
      <c r="B11" s="17" t="n">
        <v>0.00850896</v>
      </c>
      <c r="C11" s="17" t="n">
        <v>-0.05284114</v>
      </c>
      <c r="D11" s="17" t="n">
        <v>0.10690485</v>
      </c>
      <c r="E11" s="30" t="n">
        <v>49.10538048</v>
      </c>
      <c r="F11" s="30" t="n">
        <v>44.7050530590909</v>
      </c>
      <c r="G11" s="22" t="s">
        <v>698</v>
      </c>
      <c r="H11" s="17" t="n">
        <v>0.00850896</v>
      </c>
      <c r="I11" s="17"/>
    </row>
    <row r="12" customFormat="false" ht="15" hidden="false" customHeight="true" outlineLevel="0" collapsed="false">
      <c r="A12" s="22" t="n">
        <v>2024</v>
      </c>
      <c r="B12" s="17" t="n">
        <v>0.00796357</v>
      </c>
      <c r="C12" s="17" t="n">
        <v>-0.01855455</v>
      </c>
      <c r="D12" s="17" t="n">
        <v>0.10737802</v>
      </c>
      <c r="E12" s="30" t="n">
        <v>47.97192282</v>
      </c>
      <c r="F12" s="30" t="n">
        <v>43.6731644078836</v>
      </c>
      <c r="G12" s="22" t="s">
        <v>698</v>
      </c>
      <c r="H12" s="17" t="n">
        <v>0.00796357</v>
      </c>
      <c r="I12" s="17"/>
    </row>
    <row r="13" customFormat="false" ht="15" hidden="false" customHeight="true" outlineLevel="0" collapsed="false">
      <c r="A13" s="22" t="n">
        <v>2025</v>
      </c>
      <c r="B13" s="17" t="n">
        <v>0.004443</v>
      </c>
      <c r="C13" s="17" t="n">
        <v>0.00073864</v>
      </c>
      <c r="D13" s="17" t="n">
        <v>0.1048993</v>
      </c>
      <c r="E13" s="30" t="n">
        <v>48.51734603</v>
      </c>
      <c r="F13" s="30" t="n">
        <v>44.169712307612</v>
      </c>
      <c r="G13" s="22" t="s">
        <v>698</v>
      </c>
      <c r="H13" s="17" t="n">
        <v>0.004443</v>
      </c>
      <c r="I13" s="17"/>
    </row>
    <row r="14" customFormat="false" ht="15" hidden="false" customHeight="true" outlineLevel="0" collapsed="false">
      <c r="A14" s="22" t="n">
        <v>2026</v>
      </c>
      <c r="B14" s="17" t="n">
        <v>0.00381869</v>
      </c>
      <c r="C14" s="17" t="n">
        <v>0.02641028</v>
      </c>
      <c r="D14" s="17"/>
      <c r="E14" s="30"/>
      <c r="F14" s="30"/>
      <c r="G14" s="22" t="s">
        <v>699</v>
      </c>
      <c r="H14" s="17"/>
      <c r="I14" s="17" t="n">
        <v>0.00381869</v>
      </c>
    </row>
    <row r="15" customFormat="false" ht="15" hidden="false" customHeight="true" outlineLevel="0" collapsed="false">
      <c r="A15" s="22" t="n">
        <v>2027</v>
      </c>
      <c r="B15" s="17" t="n">
        <v>0.00381869</v>
      </c>
      <c r="C15" s="17" t="n">
        <v>0.03173914</v>
      </c>
      <c r="D15" s="17"/>
      <c r="E15" s="30"/>
      <c r="F15" s="30"/>
      <c r="G15" s="22" t="s">
        <v>699</v>
      </c>
      <c r="H15" s="17"/>
      <c r="I15" s="17" t="n">
        <v>0.00381869</v>
      </c>
    </row>
    <row r="16" customFormat="false" ht="15" hidden="false" customHeight="true" outlineLevel="0" collapsed="false">
      <c r="A16" s="22" t="n">
        <v>2028</v>
      </c>
      <c r="B16" s="17" t="n">
        <v>0.00381869</v>
      </c>
      <c r="C16" s="17" t="n">
        <v>0.02121428</v>
      </c>
      <c r="D16" s="17"/>
      <c r="E16" s="30"/>
      <c r="F16" s="30"/>
      <c r="G16" s="22" t="s">
        <v>699</v>
      </c>
      <c r="H16" s="17"/>
      <c r="I16" s="17" t="n">
        <v>0.00381869</v>
      </c>
    </row>
    <row r="17" customFormat="false" ht="15" hidden="false" customHeight="true" outlineLevel="0" collapsed="false">
      <c r="A17" s="22" t="n">
        <v>2029</v>
      </c>
      <c r="B17" s="17" t="n">
        <v>0.00381869</v>
      </c>
      <c r="C17" s="17" t="n">
        <v>0.02121284</v>
      </c>
      <c r="D17" s="17"/>
      <c r="E17" s="30"/>
      <c r="F17" s="30"/>
      <c r="G17" s="22" t="s">
        <v>699</v>
      </c>
      <c r="H17" s="17"/>
      <c r="I17" s="17" t="n">
        <v>0.00381869</v>
      </c>
    </row>
    <row r="18" customFormat="false" ht="15" hidden="false" customHeight="true" outlineLevel="0" collapsed="false">
      <c r="A18" s="22" t="n">
        <v>2030</v>
      </c>
      <c r="B18" s="17" t="n">
        <v>0.00381869</v>
      </c>
      <c r="C18" s="17" t="n">
        <v>0.02121141</v>
      </c>
      <c r="D18" s="17"/>
      <c r="E18" s="30"/>
      <c r="F18" s="30"/>
      <c r="G18" s="22" t="s">
        <v>699</v>
      </c>
      <c r="H18" s="17"/>
      <c r="I18" s="17" t="n">
        <v>0.00381869</v>
      </c>
    </row>
    <row r="20" customFormat="false" ht="15" hidden="false" customHeight="true" outlineLevel="0" collapsed="false">
      <c r="A20" s="6" t="s">
        <v>683</v>
      </c>
    </row>
    <row r="21" customFormat="false" ht="15" hidden="false" customHeight="true" outlineLevel="0" collapsed="false">
      <c r="A21" s="18" t="s">
        <v>700</v>
      </c>
    </row>
    <row r="22" customFormat="false" ht="15" hidden="false" customHeight="true" outlineLevel="0" collapsed="false">
      <c r="A22" s="18" t="s">
        <v>701</v>
      </c>
    </row>
    <row r="23" customFormat="false" ht="15" hidden="false" customHeight="true" outlineLevel="0" collapsed="false">
      <c r="A23" s="18" t="s">
        <v>702</v>
      </c>
    </row>
    <row r="24" customFormat="false" ht="15" hidden="false" customHeight="true" outlineLevel="0" collapsed="false">
      <c r="A24" s="18" t="s">
        <v>703</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2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7" min="1" style="1" width="15"/>
  </cols>
  <sheetData>
    <row r="1" customFormat="false" ht="15" hidden="false" customHeight="true" outlineLevel="0" collapsed="false">
      <c r="A1" s="4" t="s">
        <v>704</v>
      </c>
    </row>
    <row r="2" customFormat="false" ht="15" hidden="false" customHeight="true" outlineLevel="0" collapsed="false">
      <c r="A2" s="18" t="s">
        <v>705</v>
      </c>
    </row>
    <row r="4" customFormat="false" ht="15" hidden="false" customHeight="true" outlineLevel="0" collapsed="false">
      <c r="A4" s="2" t="s">
        <v>674</v>
      </c>
      <c r="B4" s="2" t="s">
        <v>706</v>
      </c>
      <c r="C4" s="2" t="s">
        <v>707</v>
      </c>
      <c r="D4" s="2" t="s">
        <v>525</v>
      </c>
      <c r="E4" s="2" t="s">
        <v>526</v>
      </c>
      <c r="F4" s="2" t="s">
        <v>708</v>
      </c>
      <c r="G4" s="2" t="s">
        <v>522</v>
      </c>
    </row>
    <row r="5" customFormat="false" ht="15" hidden="false" customHeight="true" outlineLevel="0" collapsed="false">
      <c r="A5" s="22" t="n">
        <v>2010</v>
      </c>
      <c r="B5" s="31" t="n">
        <v>97.892</v>
      </c>
      <c r="C5" s="31" t="n">
        <v>218.076</v>
      </c>
      <c r="D5" s="9" t="n">
        <v>87.7498700227684</v>
      </c>
      <c r="E5" s="9" t="n">
        <v>90.8631070186038</v>
      </c>
      <c r="F5" s="23"/>
      <c r="G5" s="23"/>
    </row>
    <row r="6" customFormat="false" ht="15" hidden="false" customHeight="true" outlineLevel="0" collapsed="false">
      <c r="A6" s="22" t="n">
        <v>2011</v>
      </c>
      <c r="B6" s="31" t="n">
        <v>100.133</v>
      </c>
      <c r="C6" s="31" t="n">
        <v>224.923</v>
      </c>
      <c r="D6" s="9" t="n">
        <v>89.7586905466215</v>
      </c>
      <c r="E6" s="9" t="n">
        <v>93.7159642507448</v>
      </c>
      <c r="F6" s="23" t="n">
        <v>0.0228925754913578</v>
      </c>
      <c r="G6" s="23" t="n">
        <v>0.0313973110291825</v>
      </c>
    </row>
    <row r="7" customFormat="false" ht="15" hidden="false" customHeight="true" outlineLevel="0" collapsed="false">
      <c r="A7" s="22" t="n">
        <v>2012</v>
      </c>
      <c r="B7" s="31" t="n">
        <v>103.217</v>
      </c>
      <c r="C7" s="31" t="n">
        <v>229.586</v>
      </c>
      <c r="D7" s="9" t="n">
        <v>92.5231718030083</v>
      </c>
      <c r="E7" s="9" t="n">
        <v>95.6588404408242</v>
      </c>
      <c r="F7" s="23" t="n">
        <v>0.030799037280417</v>
      </c>
      <c r="G7" s="23" t="n">
        <v>0.0207315392378726</v>
      </c>
    </row>
    <row r="8" customFormat="false" ht="15" hidden="false" customHeight="true" outlineLevel="0" collapsed="false">
      <c r="A8" s="22" t="n">
        <v>2013</v>
      </c>
      <c r="B8" s="31" t="n">
        <v>105.1</v>
      </c>
      <c r="C8" s="31" t="n">
        <v>232.952</v>
      </c>
      <c r="D8" s="9" t="n">
        <v>94.2110830240771</v>
      </c>
      <c r="E8" s="9" t="n">
        <v>97.0613112226829</v>
      </c>
      <c r="F8" s="23" t="n">
        <v>0.0182431188660783</v>
      </c>
      <c r="G8" s="23" t="n">
        <v>0.0146611727195909</v>
      </c>
    </row>
    <row r="9" customFormat="false" ht="15" hidden="false" customHeight="true" outlineLevel="0" collapsed="false">
      <c r="A9" s="22" t="n">
        <v>2014</v>
      </c>
      <c r="B9" s="31" t="n">
        <v>108.292</v>
      </c>
      <c r="C9" s="31" t="n">
        <v>236.715</v>
      </c>
      <c r="D9" s="9" t="n">
        <v>97.0723749081195</v>
      </c>
      <c r="E9" s="9" t="n">
        <v>98.6291952250995</v>
      </c>
      <c r="F9" s="23" t="n">
        <v>0.0303710751665081</v>
      </c>
      <c r="G9" s="23" t="n">
        <v>0.016153542360658</v>
      </c>
    </row>
    <row r="10" customFormat="false" ht="15" hidden="false" customHeight="true" outlineLevel="0" collapsed="false">
      <c r="A10" s="22" t="n">
        <v>2015</v>
      </c>
      <c r="B10" s="31" t="n">
        <v>110.35</v>
      </c>
      <c r="C10" s="31" t="n">
        <v>237.002</v>
      </c>
      <c r="D10" s="9" t="n">
        <v>98.9171552017784</v>
      </c>
      <c r="E10" s="9" t="n">
        <v>98.7487760671653</v>
      </c>
      <c r="F10" s="23" t="n">
        <v>0.0190041739001956</v>
      </c>
      <c r="G10" s="23" t="n">
        <v>0.0012124284477113</v>
      </c>
    </row>
    <row r="11" customFormat="false" ht="15" hidden="false" customHeight="true" outlineLevel="0" collapsed="false">
      <c r="A11" s="22" t="n">
        <v>2016</v>
      </c>
      <c r="B11" s="31" t="n">
        <v>111.558</v>
      </c>
      <c r="C11" s="31" t="n">
        <v>240.005</v>
      </c>
      <c r="D11" s="9" t="n">
        <v>100</v>
      </c>
      <c r="E11" s="9" t="n">
        <v>100</v>
      </c>
      <c r="F11" s="23" t="n">
        <v>0.010946986859991</v>
      </c>
      <c r="G11" s="23" t="n">
        <v>0.0126707791495431</v>
      </c>
    </row>
    <row r="12" customFormat="false" ht="15" hidden="false" customHeight="true" outlineLevel="0" collapsed="false">
      <c r="A12" s="22" t="n">
        <v>2017</v>
      </c>
      <c r="B12" s="31" t="n">
        <v>114.008</v>
      </c>
      <c r="C12" s="31" t="n">
        <v>245.121</v>
      </c>
      <c r="D12" s="9" t="n">
        <v>102.196167016261</v>
      </c>
      <c r="E12" s="9" t="n">
        <v>102.13162225787</v>
      </c>
      <c r="F12" s="23" t="n">
        <v>0.021961670162606</v>
      </c>
      <c r="G12" s="23" t="n">
        <v>0.0213162225786963</v>
      </c>
    </row>
    <row r="13" customFormat="false" ht="15" hidden="false" customHeight="true" outlineLevel="0" collapsed="false">
      <c r="A13" s="22" t="n">
        <v>2018</v>
      </c>
      <c r="B13" s="31" t="n">
        <v>118.8</v>
      </c>
      <c r="C13" s="31" t="n">
        <v>251.1</v>
      </c>
      <c r="D13" s="9" t="n">
        <v>106.491690421126</v>
      </c>
      <c r="E13" s="9" t="n">
        <v>104.622820357909</v>
      </c>
      <c r="F13" s="23" t="n">
        <v>0.0420321380955722</v>
      </c>
      <c r="G13" s="23" t="n">
        <v>0.0243920349541655</v>
      </c>
    </row>
    <row r="14" customFormat="false" ht="15" hidden="false" customHeight="true" outlineLevel="0" collapsed="false">
      <c r="A14" s="22" t="n">
        <v>2019</v>
      </c>
      <c r="B14" s="31" t="n">
        <v>124.892</v>
      </c>
      <c r="C14" s="31" t="n">
        <v>255.653</v>
      </c>
      <c r="D14" s="9" t="n">
        <v>111.952526936661</v>
      </c>
      <c r="E14" s="9" t="n">
        <v>106.519864169497</v>
      </c>
      <c r="F14" s="23" t="n">
        <v>0.0512794612794614</v>
      </c>
      <c r="G14" s="23" t="n">
        <v>0.0181322182397452</v>
      </c>
    </row>
    <row r="15" customFormat="false" ht="15" hidden="false" customHeight="true" outlineLevel="0" collapsed="false">
      <c r="A15" s="22" t="n">
        <v>2020</v>
      </c>
      <c r="B15" s="31" t="n">
        <v>127.975</v>
      </c>
      <c r="C15" s="31" t="n">
        <v>258.856</v>
      </c>
      <c r="D15" s="9" t="n">
        <v>114.716111798347</v>
      </c>
      <c r="E15" s="9" t="n">
        <v>107.85441969959</v>
      </c>
      <c r="F15" s="23" t="n">
        <v>0.0246853281234987</v>
      </c>
      <c r="G15" s="23" t="n">
        <v>0.0125287010127009</v>
      </c>
    </row>
    <row r="16" customFormat="false" ht="15" hidden="false" customHeight="true" outlineLevel="0" collapsed="false">
      <c r="A16" s="22" t="n">
        <v>2021</v>
      </c>
      <c r="B16" s="31" t="n">
        <v>134.619</v>
      </c>
      <c r="C16" s="31" t="n">
        <v>270.973</v>
      </c>
      <c r="D16" s="9" t="n">
        <v>120.671758188566</v>
      </c>
      <c r="E16" s="9" t="n">
        <v>112.903064519489</v>
      </c>
      <c r="F16" s="23" t="n">
        <v>0.0519163899199062</v>
      </c>
      <c r="G16" s="23" t="n">
        <v>0.0468098093148315</v>
      </c>
    </row>
    <row r="17" customFormat="false" ht="15" hidden="false" customHeight="true" outlineLevel="0" collapsed="false">
      <c r="A17" s="22" t="n">
        <v>2022</v>
      </c>
      <c r="B17" s="31" t="n">
        <v>161.439</v>
      </c>
      <c r="C17" s="31" t="n">
        <v>292.626</v>
      </c>
      <c r="D17" s="9" t="n">
        <v>144.713064056365</v>
      </c>
      <c r="E17" s="9" t="n">
        <v>121.924959896669</v>
      </c>
      <c r="F17" s="23" t="n">
        <v>0.199228934994317</v>
      </c>
      <c r="G17" s="23" t="n">
        <v>0.0799083303502561</v>
      </c>
    </row>
    <row r="18" customFormat="false" ht="15" hidden="false" customHeight="true" outlineLevel="0" collapsed="false">
      <c r="A18" s="22" t="n">
        <v>2023</v>
      </c>
      <c r="B18" s="31" t="n">
        <v>174.162</v>
      </c>
      <c r="C18" s="31" t="n">
        <v>304.703</v>
      </c>
      <c r="D18" s="9" t="n">
        <v>156.117893831012</v>
      </c>
      <c r="E18" s="9" t="n">
        <v>126.956938397117</v>
      </c>
      <c r="F18" s="23" t="n">
        <v>0.0788099529853381</v>
      </c>
      <c r="G18" s="23" t="n">
        <v>0.0412711105643382</v>
      </c>
    </row>
    <row r="19" customFormat="false" ht="15" hidden="false" customHeight="true" outlineLevel="0" collapsed="false">
      <c r="A19" s="22" t="n">
        <v>2024</v>
      </c>
      <c r="B19" s="31" t="n">
        <v>174.344</v>
      </c>
      <c r="C19" s="31" t="n">
        <v>313.698</v>
      </c>
      <c r="D19" s="9" t="n">
        <v>156.281037666505</v>
      </c>
      <c r="E19" s="9" t="n">
        <v>130.704776983813</v>
      </c>
      <c r="F19" s="23" t="n">
        <v>0.00104500407666408</v>
      </c>
      <c r="G19" s="23" t="n">
        <v>0.0295205495187116</v>
      </c>
    </row>
    <row r="20" customFormat="false" ht="15" hidden="false" customHeight="true" outlineLevel="0" collapsed="false">
      <c r="A20" s="22" t="n">
        <v>2025</v>
      </c>
      <c r="B20" s="31" t="n">
        <v>177.178</v>
      </c>
      <c r="C20" s="31" t="n">
        <v>321.962</v>
      </c>
      <c r="D20" s="9" t="n">
        <v>158.821420247764</v>
      </c>
      <c r="E20" s="9" t="n">
        <v>134.14803858253</v>
      </c>
      <c r="F20" s="23" t="n">
        <v>0.0162552195659156</v>
      </c>
      <c r="G20" s="23" t="n">
        <v>0.0263438083762091</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B2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2" min="1" style="1" width="15"/>
  </cols>
  <sheetData>
    <row r="1" customFormat="false" ht="15" hidden="false" customHeight="true" outlineLevel="0" collapsed="false">
      <c r="A1" s="2" t="s">
        <v>674</v>
      </c>
      <c r="B1" s="2" t="s">
        <v>709</v>
      </c>
    </row>
    <row r="2" customFormat="false" ht="15" hidden="false" customHeight="true" outlineLevel="0" collapsed="false">
      <c r="A2" s="22" t="n">
        <v>2001</v>
      </c>
      <c r="B2" s="17" t="n">
        <v>0.0507</v>
      </c>
    </row>
    <row r="3" customFormat="false" ht="15" hidden="false" customHeight="true" outlineLevel="0" collapsed="false">
      <c r="A3" s="22" t="n">
        <v>2002</v>
      </c>
      <c r="B3" s="17" t="n">
        <v>0.0383</v>
      </c>
    </row>
    <row r="4" customFormat="false" ht="15" hidden="false" customHeight="true" outlineLevel="0" collapsed="false">
      <c r="A4" s="22" t="n">
        <v>2003</v>
      </c>
      <c r="B4" s="17" t="n">
        <v>0.0427</v>
      </c>
    </row>
    <row r="5" customFormat="false" ht="15" hidden="false" customHeight="true" outlineLevel="0" collapsed="false">
      <c r="A5" s="22" t="n">
        <v>2004</v>
      </c>
      <c r="B5" s="17" t="n">
        <v>0.0424</v>
      </c>
    </row>
    <row r="6" customFormat="false" ht="15" hidden="false" customHeight="true" outlineLevel="0" collapsed="false">
      <c r="A6" s="22" t="n">
        <v>2005</v>
      </c>
      <c r="B6" s="17" t="n">
        <v>0.0439</v>
      </c>
    </row>
    <row r="7" customFormat="false" ht="15" hidden="false" customHeight="true" outlineLevel="0" collapsed="false">
      <c r="A7" s="22" t="n">
        <v>2006</v>
      </c>
      <c r="B7" s="17" t="n">
        <v>0.0471</v>
      </c>
    </row>
    <row r="8" customFormat="false" ht="15" hidden="false" customHeight="true" outlineLevel="0" collapsed="false">
      <c r="A8" s="22" t="n">
        <v>2007</v>
      </c>
      <c r="B8" s="17" t="n">
        <v>0.0404</v>
      </c>
    </row>
    <row r="9" customFormat="false" ht="15" hidden="false" customHeight="true" outlineLevel="0" collapsed="false">
      <c r="A9" s="22" t="n">
        <v>2008</v>
      </c>
      <c r="B9" s="17" t="n">
        <v>0.0225</v>
      </c>
    </row>
    <row r="10" customFormat="false" ht="15" hidden="false" customHeight="true" outlineLevel="0" collapsed="false">
      <c r="A10" s="22" t="n">
        <v>2009</v>
      </c>
      <c r="B10" s="17" t="n">
        <v>0.0385</v>
      </c>
    </row>
    <row r="11" customFormat="false" ht="15" hidden="false" customHeight="true" outlineLevel="0" collapsed="false">
      <c r="A11" s="22" t="n">
        <v>2010</v>
      </c>
      <c r="B11" s="17" t="n">
        <v>0.033</v>
      </c>
    </row>
    <row r="12" customFormat="false" ht="15" hidden="false" customHeight="true" outlineLevel="0" collapsed="false">
      <c r="A12" s="22" t="n">
        <v>2011</v>
      </c>
      <c r="B12" s="17" t="n">
        <v>0.0189</v>
      </c>
    </row>
    <row r="13" customFormat="false" ht="15" hidden="false" customHeight="true" outlineLevel="0" collapsed="false">
      <c r="A13" s="22" t="n">
        <v>2012</v>
      </c>
      <c r="B13" s="17" t="n">
        <v>0.0178</v>
      </c>
    </row>
    <row r="14" customFormat="false" ht="15" hidden="false" customHeight="true" outlineLevel="0" collapsed="false">
      <c r="A14" s="22" t="n">
        <v>2013</v>
      </c>
      <c r="B14" s="17" t="n">
        <v>0.0304</v>
      </c>
    </row>
    <row r="15" customFormat="false" ht="15" hidden="false" customHeight="true" outlineLevel="0" collapsed="false">
      <c r="A15" s="22" t="n">
        <v>2014</v>
      </c>
      <c r="B15" s="17" t="n">
        <v>0.0217</v>
      </c>
    </row>
    <row r="16" customFormat="false" ht="15" hidden="false" customHeight="true" outlineLevel="0" collapsed="false">
      <c r="A16" s="22" t="n">
        <v>2015</v>
      </c>
      <c r="B16" s="17" t="n">
        <v>0.0227</v>
      </c>
    </row>
    <row r="17" customFormat="false" ht="15" hidden="false" customHeight="true" outlineLevel="0" collapsed="false">
      <c r="A17" s="22" t="n">
        <v>2016</v>
      </c>
      <c r="B17" s="17" t="n">
        <v>0.0245</v>
      </c>
    </row>
    <row r="18" customFormat="false" ht="15" hidden="false" customHeight="true" outlineLevel="0" collapsed="false">
      <c r="A18" s="22" t="n">
        <v>2017</v>
      </c>
      <c r="B18" s="17" t="n">
        <v>0.024</v>
      </c>
    </row>
    <row r="19" customFormat="false" ht="15" hidden="false" customHeight="true" outlineLevel="0" collapsed="false">
      <c r="A19" s="22" t="n">
        <v>2018</v>
      </c>
      <c r="B19" s="17" t="n">
        <v>0.0269</v>
      </c>
    </row>
    <row r="20" customFormat="false" ht="15" hidden="false" customHeight="true" outlineLevel="0" collapsed="false">
      <c r="A20" s="22" t="n">
        <v>2019</v>
      </c>
      <c r="B20" s="17" t="n">
        <v>0.0192</v>
      </c>
    </row>
    <row r="21" customFormat="false" ht="15" hidden="false" customHeight="true" outlineLevel="0" collapsed="false">
      <c r="A21" s="22" t="n">
        <v>2020</v>
      </c>
      <c r="B21" s="17" t="n">
        <v>0.0093</v>
      </c>
    </row>
    <row r="22" customFormat="false" ht="15" hidden="false" customHeight="true" outlineLevel="0" collapsed="false">
      <c r="A22" s="22" t="n">
        <v>2021</v>
      </c>
      <c r="B22" s="17" t="n">
        <v>0.0152</v>
      </c>
    </row>
    <row r="23" customFormat="false" ht="15" hidden="false" customHeight="true" outlineLevel="0" collapsed="false">
      <c r="A23" s="22" t="n">
        <v>2022</v>
      </c>
      <c r="B23" s="17" t="n">
        <v>0.0388</v>
      </c>
    </row>
    <row r="24" customFormat="false" ht="15" hidden="false" customHeight="true" outlineLevel="0" collapsed="false">
      <c r="A24" s="22" t="n">
        <v>2023</v>
      </c>
      <c r="B24" s="17" t="n">
        <v>0.0388</v>
      </c>
    </row>
    <row r="25" customFormat="false" ht="15" hidden="false" customHeight="true" outlineLevel="0" collapsed="false">
      <c r="A25" s="22" t="n">
        <v>2024</v>
      </c>
      <c r="B25" s="17" t="n">
        <v>0.0458</v>
      </c>
    </row>
    <row r="26" customFormat="false" ht="15" hidden="false" customHeight="true" outlineLevel="0" collapsed="false">
      <c r="A26" s="22" t="n">
        <v>2025</v>
      </c>
      <c r="B26" s="17" t="n">
        <v>0.0418</v>
      </c>
    </row>
    <row r="28" customFormat="false" ht="15" hidden="false" customHeight="true" outlineLevel="0" collapsed="false">
      <c r="A28" s="18" t="s">
        <v>710</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B1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2" min="1" style="1" width="15"/>
  </cols>
  <sheetData>
    <row r="1" customFormat="false" ht="15" hidden="false" customHeight="true" outlineLevel="0" collapsed="false">
      <c r="A1" s="2" t="s">
        <v>674</v>
      </c>
      <c r="B1" s="2" t="s">
        <v>711</v>
      </c>
    </row>
    <row r="2" customFormat="false" ht="15" hidden="false" customHeight="true" outlineLevel="0" collapsed="false">
      <c r="A2" s="22" t="n">
        <v>2016</v>
      </c>
      <c r="B2" s="17" t="n">
        <v>0.0351</v>
      </c>
    </row>
    <row r="3" customFormat="false" ht="15" hidden="false" customHeight="true" outlineLevel="0" collapsed="false">
      <c r="A3" s="22" t="n">
        <v>2017</v>
      </c>
      <c r="B3" s="17" t="n">
        <v>0.041</v>
      </c>
    </row>
    <row r="4" customFormat="false" ht="15" hidden="false" customHeight="true" outlineLevel="0" collapsed="false">
      <c r="A4" s="22" t="n">
        <v>2018</v>
      </c>
      <c r="B4" s="17" t="n">
        <v>0.049</v>
      </c>
    </row>
    <row r="5" customFormat="false" ht="15" hidden="false" customHeight="true" outlineLevel="0" collapsed="false">
      <c r="A5" s="22" t="n">
        <v>2019</v>
      </c>
      <c r="B5" s="17" t="n">
        <v>0.0528</v>
      </c>
    </row>
    <row r="6" customFormat="false" ht="15" hidden="false" customHeight="true" outlineLevel="0" collapsed="false">
      <c r="A6" s="22" t="n">
        <v>2020</v>
      </c>
      <c r="B6" s="17" t="n">
        <v>0.0354</v>
      </c>
    </row>
    <row r="7" customFormat="false" ht="15" hidden="false" customHeight="true" outlineLevel="0" collapsed="false">
      <c r="A7" s="22" t="n">
        <v>2021</v>
      </c>
      <c r="B7" s="17" t="n">
        <v>0.0325</v>
      </c>
    </row>
    <row r="8" customFormat="false" ht="15" hidden="false" customHeight="true" outlineLevel="0" collapsed="false">
      <c r="A8" s="22" t="n">
        <v>2022</v>
      </c>
      <c r="B8" s="17" t="n">
        <v>0.0485</v>
      </c>
    </row>
    <row r="9" customFormat="false" ht="15" hidden="false" customHeight="true" outlineLevel="0" collapsed="false">
      <c r="A9" s="22" t="n">
        <v>2023</v>
      </c>
      <c r="B9" s="17" t="n">
        <v>0.0819</v>
      </c>
    </row>
    <row r="10" customFormat="false" ht="15" hidden="false" customHeight="true" outlineLevel="0" collapsed="false">
      <c r="A10" s="22" t="n">
        <v>2024</v>
      </c>
      <c r="B10" s="17" t="n">
        <v>0.0831</v>
      </c>
    </row>
    <row r="11" customFormat="false" ht="15" hidden="false" customHeight="true" outlineLevel="0" collapsed="false">
      <c r="A11" s="22" t="n">
        <v>2025</v>
      </c>
      <c r="B11" s="17" t="n">
        <v>0.0737</v>
      </c>
    </row>
    <row r="13" customFormat="false" ht="15" hidden="false" customHeight="true" outlineLevel="0" collapsed="false">
      <c r="A13" s="18" t="s">
        <v>712</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W3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1" ySplit="7" topLeftCell="B8" activePane="bottomRight" state="frozen"/>
      <selection pane="topLeft" activeCell="A1" activeCellId="0" sqref="A1"/>
      <selection pane="topRight" activeCell="B1" activeCellId="0" sqref="B1"/>
      <selection pane="bottomLeft" activeCell="A8" activeCellId="0" sqref="A8"/>
      <selection pane="bottomRight" activeCell="A1" activeCellId="0" sqref="A1"/>
    </sheetView>
  </sheetViews>
  <sheetFormatPr defaultColWidth="8.6796875" defaultRowHeight="15" zeroHeight="false" outlineLevelRow="0" outlineLevelCol="0"/>
  <cols>
    <col collapsed="false" customWidth="true" hidden="false" outlineLevel="0" max="49" min="1" style="1" width="15"/>
  </cols>
  <sheetData>
    <row r="1" customFormat="false" ht="15" hidden="false" customHeight="true" outlineLevel="0" collapsed="false">
      <c r="A1" s="4" t="s">
        <v>393</v>
      </c>
    </row>
    <row r="3" customFormat="false" ht="15" hidden="false" customHeight="true" outlineLevel="0" collapsed="false">
      <c r="A3" s="5" t="s">
        <v>394</v>
      </c>
    </row>
    <row r="4" customFormat="false" ht="15" hidden="false" customHeight="true" outlineLevel="0" collapsed="false">
      <c r="A4" s="6" t="s">
        <v>395</v>
      </c>
    </row>
    <row r="6" customFormat="false" ht="15" hidden="false" customHeight="true" outlineLevel="0" collapsed="false">
      <c r="A6" s="7"/>
      <c r="B6" s="7" t="s">
        <v>396</v>
      </c>
      <c r="C6" s="7" t="s">
        <v>397</v>
      </c>
      <c r="D6" s="7" t="s">
        <v>398</v>
      </c>
      <c r="E6" s="7" t="s">
        <v>399</v>
      </c>
      <c r="F6" s="7" t="s">
        <v>400</v>
      </c>
      <c r="G6" s="7" t="s">
        <v>398</v>
      </c>
      <c r="H6" s="7" t="s">
        <v>401</v>
      </c>
      <c r="I6" s="7" t="s">
        <v>401</v>
      </c>
      <c r="J6" s="7" t="s">
        <v>398</v>
      </c>
      <c r="K6" s="7" t="s">
        <v>398</v>
      </c>
      <c r="L6" s="7" t="s">
        <v>402</v>
      </c>
      <c r="M6" s="7" t="s">
        <v>402</v>
      </c>
      <c r="N6" s="7" t="s">
        <v>399</v>
      </c>
      <c r="O6" s="7" t="s">
        <v>399</v>
      </c>
      <c r="P6" s="7" t="s">
        <v>399</v>
      </c>
      <c r="Q6" s="7" t="s">
        <v>399</v>
      </c>
      <c r="R6" s="7" t="s">
        <v>398</v>
      </c>
      <c r="S6" s="7" t="s">
        <v>398</v>
      </c>
      <c r="T6" s="7" t="s">
        <v>398</v>
      </c>
      <c r="U6" s="7" t="s">
        <v>401</v>
      </c>
      <c r="V6" s="7" t="s">
        <v>401</v>
      </c>
      <c r="W6" s="7" t="s">
        <v>401</v>
      </c>
      <c r="X6" s="7" t="s">
        <v>397</v>
      </c>
      <c r="Y6" s="7" t="s">
        <v>397</v>
      </c>
      <c r="Z6" s="7" t="s">
        <v>401</v>
      </c>
      <c r="AA6" s="7" t="s">
        <v>401</v>
      </c>
      <c r="AB6" s="7" t="s">
        <v>403</v>
      </c>
      <c r="AC6" s="7" t="s">
        <v>398</v>
      </c>
      <c r="AD6" s="7" t="s">
        <v>398</v>
      </c>
      <c r="AE6" s="7" t="s">
        <v>398</v>
      </c>
      <c r="AF6" s="7" t="s">
        <v>398</v>
      </c>
      <c r="AG6" s="7" t="s">
        <v>404</v>
      </c>
      <c r="AH6" s="7" t="s">
        <v>401</v>
      </c>
      <c r="AI6" s="7" t="s">
        <v>401</v>
      </c>
      <c r="AJ6" s="7"/>
      <c r="AK6" s="7" t="s">
        <v>401</v>
      </c>
      <c r="AL6" s="7" t="s">
        <v>401</v>
      </c>
      <c r="AM6" s="7" t="s">
        <v>399</v>
      </c>
      <c r="AN6" s="7" t="s">
        <v>399</v>
      </c>
      <c r="AO6" s="7" t="s">
        <v>401</v>
      </c>
      <c r="AP6" s="7" t="s">
        <v>399</v>
      </c>
      <c r="AQ6" s="7" t="s">
        <v>399</v>
      </c>
      <c r="AR6" s="7"/>
      <c r="AS6" s="7" t="s">
        <v>399</v>
      </c>
      <c r="AT6" s="7" t="s">
        <v>398</v>
      </c>
      <c r="AU6" s="7" t="s">
        <v>399</v>
      </c>
      <c r="AV6" s="7" t="s">
        <v>398</v>
      </c>
      <c r="AW6" s="7" t="s">
        <v>398</v>
      </c>
    </row>
    <row r="7" customFormat="false" ht="53.25" hidden="false" customHeight="true" outlineLevel="0" collapsed="false">
      <c r="A7" s="8" t="s">
        <v>405</v>
      </c>
      <c r="B7" s="8" t="s">
        <v>406</v>
      </c>
      <c r="C7" s="8" t="s">
        <v>407</v>
      </c>
      <c r="D7" s="8" t="s">
        <v>408</v>
      </c>
      <c r="E7" s="8" t="s">
        <v>409</v>
      </c>
      <c r="F7" s="8" t="s">
        <v>410</v>
      </c>
      <c r="G7" s="8" t="s">
        <v>411</v>
      </c>
      <c r="H7" s="8" t="s">
        <v>412</v>
      </c>
      <c r="I7" s="8" t="s">
        <v>413</v>
      </c>
      <c r="J7" s="8" t="s">
        <v>414</v>
      </c>
      <c r="K7" s="8" t="s">
        <v>415</v>
      </c>
      <c r="L7" s="8" t="s">
        <v>416</v>
      </c>
      <c r="M7" s="8" t="s">
        <v>417</v>
      </c>
      <c r="N7" s="8" t="s">
        <v>418</v>
      </c>
      <c r="O7" s="8" t="s">
        <v>419</v>
      </c>
      <c r="P7" s="8" t="s">
        <v>420</v>
      </c>
      <c r="Q7" s="8" t="s">
        <v>421</v>
      </c>
      <c r="R7" s="8" t="s">
        <v>422</v>
      </c>
      <c r="S7" s="8" t="s">
        <v>423</v>
      </c>
      <c r="T7" s="8" t="s">
        <v>424</v>
      </c>
      <c r="U7" s="8" t="s">
        <v>425</v>
      </c>
      <c r="V7" s="8" t="s">
        <v>426</v>
      </c>
      <c r="W7" s="8" t="s">
        <v>427</v>
      </c>
      <c r="X7" s="8" t="s">
        <v>428</v>
      </c>
      <c r="Y7" s="8" t="s">
        <v>429</v>
      </c>
      <c r="Z7" s="8" t="s">
        <v>430</v>
      </c>
      <c r="AA7" s="8" t="s">
        <v>431</v>
      </c>
      <c r="AB7" s="8" t="s">
        <v>432</v>
      </c>
      <c r="AC7" s="8" t="s">
        <v>433</v>
      </c>
      <c r="AD7" s="8" t="s">
        <v>434</v>
      </c>
      <c r="AE7" s="8" t="s">
        <v>435</v>
      </c>
      <c r="AF7" s="8" t="s">
        <v>436</v>
      </c>
      <c r="AG7" s="8" t="s">
        <v>437</v>
      </c>
      <c r="AH7" s="8" t="s">
        <v>438</v>
      </c>
      <c r="AI7" s="8" t="s">
        <v>439</v>
      </c>
      <c r="AJ7" s="8"/>
      <c r="AK7" s="8" t="s">
        <v>440</v>
      </c>
      <c r="AL7" s="8" t="s">
        <v>441</v>
      </c>
      <c r="AM7" s="8" t="s">
        <v>442</v>
      </c>
      <c r="AN7" s="8" t="s">
        <v>443</v>
      </c>
      <c r="AO7" s="8" t="s">
        <v>444</v>
      </c>
      <c r="AP7" s="8" t="s">
        <v>445</v>
      </c>
      <c r="AQ7" s="8" t="s">
        <v>446</v>
      </c>
      <c r="AR7" s="8"/>
      <c r="AS7" s="8" t="s">
        <v>447</v>
      </c>
      <c r="AT7" s="8" t="s">
        <v>448</v>
      </c>
      <c r="AU7" s="8" t="s">
        <v>449</v>
      </c>
      <c r="AV7" s="8" t="s">
        <v>450</v>
      </c>
      <c r="AW7" s="8" t="s">
        <v>451</v>
      </c>
    </row>
    <row r="8" customFormat="false" ht="15" hidden="false" customHeight="true" outlineLevel="0" collapsed="false">
      <c r="A8" s="6" t="s">
        <v>452</v>
      </c>
      <c r="B8" s="9" t="n">
        <f aca="false">AL8/1000</f>
        <v>1976.785</v>
      </c>
      <c r="C8" s="9" t="n">
        <f aca="false">AO8*(AQ8/AP8)/1000</f>
        <v>671.05981238777</v>
      </c>
      <c r="D8" s="9" t="n">
        <f aca="false">B8-C8</f>
        <v>1305.72518761223</v>
      </c>
      <c r="E8" s="10" t="n">
        <v>67.48</v>
      </c>
      <c r="F8" s="11" t="n">
        <v>176.8</v>
      </c>
      <c r="G8" s="9" t="n">
        <f aca="false">E8*F8</f>
        <v>11930.464</v>
      </c>
      <c r="H8" s="12" t="n">
        <v>518.492</v>
      </c>
      <c r="I8" s="12" t="n">
        <v>1475.257</v>
      </c>
      <c r="J8" s="9" t="n">
        <f aca="false">H8+I8</f>
        <v>1993.749</v>
      </c>
      <c r="K8" s="9" t="n">
        <f aca="false">G8-J8</f>
        <v>9936.715</v>
      </c>
      <c r="L8" s="12" t="n">
        <v>12400</v>
      </c>
      <c r="M8" s="12" t="n">
        <v>4298.063</v>
      </c>
      <c r="N8" s="12" t="n">
        <v>0</v>
      </c>
      <c r="O8" s="12" t="n">
        <v>-88.58</v>
      </c>
      <c r="P8" s="12" t="n">
        <v>1364.36</v>
      </c>
      <c r="Q8" s="12" t="n">
        <v>1221.666</v>
      </c>
      <c r="R8" s="9" t="n">
        <f aca="false">L8+M8+N8+O8-P8+Q8</f>
        <v>16466.789</v>
      </c>
      <c r="S8" s="9" t="n">
        <f aca="false">G8+R8</f>
        <v>28397.253</v>
      </c>
      <c r="T8" s="9" t="n">
        <f aca="false">K8+R8</f>
        <v>26403.504</v>
      </c>
      <c r="U8" s="12" t="n">
        <v>1209.636</v>
      </c>
      <c r="V8" s="11" t="n">
        <v>3.945942</v>
      </c>
      <c r="W8" s="12" t="n">
        <v>94.32</v>
      </c>
      <c r="X8" s="9" t="n">
        <f aca="false">V8*W8</f>
        <v>372.18124944</v>
      </c>
      <c r="Y8" s="9" t="n">
        <f aca="false">U8-X8</f>
        <v>837.45475056</v>
      </c>
      <c r="Z8" s="12" t="n">
        <v>1245.157</v>
      </c>
      <c r="AA8" s="12" t="n">
        <v>643.107</v>
      </c>
      <c r="AB8" s="13" t="n">
        <f aca="false">INDEX('10 YR UST'!$B:$B,MATCH(2025,'10 YR UST'!$A:$A,0))</f>
        <v>0.0418</v>
      </c>
      <c r="AC8" s="14" t="n">
        <f aca="false">B8/T8</f>
        <v>0.0748682826340019</v>
      </c>
      <c r="AD8" s="14" t="n">
        <f aca="false">D8/K8</f>
        <v>0.131404109669265</v>
      </c>
      <c r="AE8" s="15" t="n">
        <f aca="false">T8/B8</f>
        <v>13.3567909509633</v>
      </c>
      <c r="AF8" s="15" t="n">
        <f aca="false">K8/D8</f>
        <v>7.61011206207272</v>
      </c>
      <c r="AG8" s="16" t="n">
        <v>0.867</v>
      </c>
      <c r="AH8" s="16" t="n">
        <v>0.894</v>
      </c>
      <c r="AI8" s="17" t="n">
        <v>-0.0541</v>
      </c>
      <c r="AK8" s="12" t="n">
        <v>2058649</v>
      </c>
      <c r="AL8" s="12" t="n">
        <v>1976785</v>
      </c>
      <c r="AM8" s="12" t="n">
        <v>515763</v>
      </c>
      <c r="AN8" s="12" t="n">
        <v>492281</v>
      </c>
      <c r="AO8" s="12" t="n">
        <v>653138</v>
      </c>
      <c r="AP8" s="12" t="n">
        <v>162612</v>
      </c>
      <c r="AQ8" s="12" t="n">
        <v>167074</v>
      </c>
      <c r="AS8" s="12" t="n">
        <v>16466789</v>
      </c>
      <c r="AT8" s="9" t="n">
        <f aca="false">(R8-N8)*1000-AS8</f>
        <v>0</v>
      </c>
      <c r="AU8" s="12" t="n">
        <v>11930464</v>
      </c>
      <c r="AV8" s="9" t="n">
        <f aca="false">(G8+N8)*1000-AU8</f>
        <v>0</v>
      </c>
      <c r="AW8" s="9" t="n">
        <f aca="false">S8*1000-(AU8+AS8)</f>
        <v>0</v>
      </c>
    </row>
    <row r="9" customFormat="false" ht="15" hidden="false" customHeight="true" outlineLevel="0" collapsed="false">
      <c r="A9" s="6" t="s">
        <v>453</v>
      </c>
      <c r="B9" s="9" t="n">
        <f aca="false">AL9/1000</f>
        <v>1984.056</v>
      </c>
      <c r="C9" s="9" t="n">
        <f aca="false">AO9*(AQ9/AP9)/1000</f>
        <v>671.040564170433</v>
      </c>
      <c r="D9" s="9" t="n">
        <f aca="false">B9-C9</f>
        <v>1313.01543582957</v>
      </c>
      <c r="E9" s="10" t="n">
        <v>74.36</v>
      </c>
      <c r="F9" s="11" t="n">
        <v>176.241</v>
      </c>
      <c r="G9" s="9" t="n">
        <f aca="false">E9*F9</f>
        <v>13105.28076</v>
      </c>
      <c r="H9" s="12" t="n">
        <v>714.05</v>
      </c>
      <c r="I9" s="12" t="n">
        <v>764.64</v>
      </c>
      <c r="J9" s="9" t="n">
        <f aca="false">H9+I9</f>
        <v>1478.69</v>
      </c>
      <c r="K9" s="9" t="n">
        <f aca="false">G9-J9</f>
        <v>11626.59076</v>
      </c>
      <c r="L9" s="12" t="n">
        <v>12000</v>
      </c>
      <c r="M9" s="12" t="n">
        <v>4302.313</v>
      </c>
      <c r="N9" s="12" t="n">
        <v>0</v>
      </c>
      <c r="O9" s="12" t="n">
        <v>-81.814</v>
      </c>
      <c r="P9" s="12" t="n">
        <v>1362.367</v>
      </c>
      <c r="Q9" s="12" t="n">
        <v>1383.764</v>
      </c>
      <c r="R9" s="9" t="n">
        <f aca="false">L9+M9+N9+O9-P9+Q9</f>
        <v>16241.896</v>
      </c>
      <c r="S9" s="9" t="n">
        <f aca="false">G9+R9</f>
        <v>29347.17676</v>
      </c>
      <c r="T9" s="9" t="n">
        <f aca="false">K9+R9</f>
        <v>27868.48676</v>
      </c>
      <c r="U9" s="12" t="n">
        <v>1248.026</v>
      </c>
      <c r="V9" s="11" t="n">
        <v>4.022122</v>
      </c>
      <c r="W9" s="12" t="n">
        <v>79.32</v>
      </c>
      <c r="X9" s="9" t="n">
        <f aca="false">V9*W9</f>
        <v>319.03471704</v>
      </c>
      <c r="Y9" s="9" t="n">
        <f aca="false">U9-X9</f>
        <v>928.99128296</v>
      </c>
      <c r="Z9" s="12" t="n">
        <v>1234.501</v>
      </c>
      <c r="AA9" s="12" t="n">
        <v>689.87</v>
      </c>
      <c r="AB9" s="13" t="n">
        <f aca="false">INDEX('10 YR UST'!$B:$B,MATCH(2024,'10 YR UST'!$A:$A,0))</f>
        <v>0.0458</v>
      </c>
      <c r="AC9" s="14" t="n">
        <f aca="false">B9/T9</f>
        <v>0.0711935318586347</v>
      </c>
      <c r="AD9" s="14" t="n">
        <f aca="false">D9/K9</f>
        <v>0.112932110790968</v>
      </c>
      <c r="AE9" s="15" t="n">
        <f aca="false">T9/B9</f>
        <v>14.0462198446012</v>
      </c>
      <c r="AF9" s="15" t="n">
        <f aca="false">K9/D9</f>
        <v>8.85487743916299</v>
      </c>
      <c r="AG9" s="16" t="n">
        <v>0.875</v>
      </c>
      <c r="AH9" s="16" t="n">
        <v>0.894</v>
      </c>
      <c r="AI9" s="17" t="n">
        <v>0.0179</v>
      </c>
      <c r="AK9" s="12" t="n">
        <v>2041045</v>
      </c>
      <c r="AL9" s="12" t="n">
        <v>1984056</v>
      </c>
      <c r="AM9" s="12" t="n">
        <v>512430</v>
      </c>
      <c r="AN9" s="12" t="n">
        <v>494953</v>
      </c>
      <c r="AO9" s="12" t="n">
        <v>645117</v>
      </c>
      <c r="AP9" s="12" t="n">
        <v>170390</v>
      </c>
      <c r="AQ9" s="12" t="n">
        <v>177237</v>
      </c>
      <c r="AS9" s="12" t="n">
        <v>16241896</v>
      </c>
      <c r="AT9" s="9" t="n">
        <f aca="false">(R9-N9)*1000-AS9</f>
        <v>0</v>
      </c>
      <c r="AU9" s="12" t="n">
        <v>13105281</v>
      </c>
      <c r="AV9" s="9" t="n">
        <f aca="false">(G9+N9)*1000-AU9</f>
        <v>-0.239999998360872</v>
      </c>
      <c r="AW9" s="9" t="n">
        <f aca="false">S9*1000-(AU9+AS9)</f>
        <v>-0.239999998360872</v>
      </c>
    </row>
    <row r="10" customFormat="false" ht="15" hidden="false" customHeight="true" outlineLevel="0" collapsed="false">
      <c r="A10" s="6" t="s">
        <v>454</v>
      </c>
      <c r="B10" s="9" t="n">
        <f aca="false">AL10/1000</f>
        <v>1965.106</v>
      </c>
      <c r="C10" s="9" t="n">
        <f aca="false">AO10*(AQ10/AP10)/1000</f>
        <v>619.579210858912</v>
      </c>
      <c r="D10" s="9" t="n">
        <f aca="false">B10-C10</f>
        <v>1345.52678914109</v>
      </c>
      <c r="E10" s="10" t="n">
        <v>70.17</v>
      </c>
      <c r="F10" s="11" t="n">
        <v>175.515</v>
      </c>
      <c r="G10" s="9" t="n">
        <f aca="false">E10*F10</f>
        <v>12315.88755</v>
      </c>
      <c r="H10" s="12" t="n">
        <v>697.061</v>
      </c>
      <c r="I10" s="12" t="n">
        <v>547.28</v>
      </c>
      <c r="J10" s="9" t="n">
        <f aca="false">H10+I10</f>
        <v>1244.341</v>
      </c>
      <c r="K10" s="9" t="n">
        <f aca="false">G10-J10</f>
        <v>11071.54655</v>
      </c>
      <c r="L10" s="12" t="n">
        <v>11750</v>
      </c>
      <c r="M10" s="12" t="n">
        <v>4200</v>
      </c>
      <c r="N10" s="12" t="n">
        <v>0</v>
      </c>
      <c r="O10" s="12" t="n">
        <v>-93.703</v>
      </c>
      <c r="P10" s="12" t="n">
        <v>1360.375</v>
      </c>
      <c r="Q10" s="12" t="n">
        <v>1421.655</v>
      </c>
      <c r="R10" s="9" t="n">
        <f aca="false">L10+M10+N10+O10-P10+Q10</f>
        <v>15917.577</v>
      </c>
      <c r="S10" s="9" t="n">
        <f aca="false">G10+R10</f>
        <v>28233.46455</v>
      </c>
      <c r="T10" s="9" t="n">
        <f aca="false">K10+R10</f>
        <v>26989.12355</v>
      </c>
      <c r="U10" s="12" t="n">
        <v>1274.568</v>
      </c>
      <c r="V10" s="11" t="n">
        <v>3.674417</v>
      </c>
      <c r="W10" s="12" t="n">
        <v>77.72</v>
      </c>
      <c r="X10" s="9" t="n">
        <f aca="false">V10*W10</f>
        <v>285.57568924</v>
      </c>
      <c r="Y10" s="9" t="n">
        <f aca="false">U10-X10</f>
        <v>988.99231076</v>
      </c>
      <c r="Z10" s="12" t="n">
        <v>1301.52</v>
      </c>
      <c r="AA10" s="12" t="n">
        <v>687.809</v>
      </c>
      <c r="AB10" s="13" t="n">
        <f aca="false">INDEX('10 YR UST'!$B:$B,MATCH(2023,'10 YR UST'!$A:$A,0))</f>
        <v>0.0388</v>
      </c>
      <c r="AC10" s="14" t="n">
        <f aca="false">B10/T10</f>
        <v>0.0728110342805111</v>
      </c>
      <c r="AD10" s="14" t="n">
        <f aca="false">D10/K10</f>
        <v>0.121530156881388</v>
      </c>
      <c r="AE10" s="15" t="n">
        <f aca="false">T10/B10</f>
        <v>13.7341820492126</v>
      </c>
      <c r="AF10" s="15" t="n">
        <f aca="false">K10/D10</f>
        <v>8.22841034407608</v>
      </c>
      <c r="AG10" s="16" t="n">
        <v>0.884</v>
      </c>
      <c r="AH10" s="16" t="n">
        <v>0.899</v>
      </c>
      <c r="AI10" s="17" t="n">
        <v>0.0048</v>
      </c>
      <c r="AK10" s="12" t="n">
        <v>1998776</v>
      </c>
      <c r="AL10" s="12" t="n">
        <v>1965106</v>
      </c>
      <c r="AM10" s="12" t="n">
        <v>502400</v>
      </c>
      <c r="AN10" s="12" t="n">
        <v>491657</v>
      </c>
      <c r="AO10" s="12" t="n">
        <v>579572</v>
      </c>
      <c r="AP10" s="12" t="n">
        <v>155080</v>
      </c>
      <c r="AQ10" s="12" t="n">
        <v>165785</v>
      </c>
      <c r="AS10" s="12" t="n">
        <v>15917577</v>
      </c>
      <c r="AT10" s="9" t="n">
        <f aca="false">(R10-N10)*1000-AS10</f>
        <v>0</v>
      </c>
      <c r="AU10" s="12" t="n">
        <v>12315888</v>
      </c>
      <c r="AV10" s="9" t="n">
        <f aca="false">(G10+N10)*1000-AU10</f>
        <v>-0.450000001117587</v>
      </c>
      <c r="AW10" s="9" t="n">
        <f aca="false">S10*1000-(AU10+AS10)</f>
        <v>-0.449999999254942</v>
      </c>
    </row>
    <row r="11" customFormat="false" ht="15" hidden="false" customHeight="true" outlineLevel="0" collapsed="false">
      <c r="A11" s="6" t="s">
        <v>455</v>
      </c>
      <c r="B11" s="9" t="n">
        <f aca="false">AL11/1000</f>
        <v>1883.796</v>
      </c>
      <c r="C11" s="9" t="n">
        <f aca="false">AO11*(AQ11/AP11)/1000</f>
        <v>471.698799696472</v>
      </c>
      <c r="D11" s="9" t="n">
        <f aca="false">B11-C11</f>
        <v>1412.09720030353</v>
      </c>
      <c r="E11" s="10" t="n">
        <v>67.58</v>
      </c>
      <c r="F11" s="11" t="n">
        <v>174.968</v>
      </c>
      <c r="G11" s="9" t="n">
        <f aca="false">E11*F11</f>
        <v>11824.33744</v>
      </c>
      <c r="H11" s="12" t="n">
        <v>721.501</v>
      </c>
      <c r="I11" s="12" t="n">
        <v>406.574</v>
      </c>
      <c r="J11" s="9" t="n">
        <f aca="false">H11+I11</f>
        <v>1128.075</v>
      </c>
      <c r="K11" s="9" t="n">
        <f aca="false">G11-J11</f>
        <v>10696.26244</v>
      </c>
      <c r="L11" s="12" t="n">
        <v>11030</v>
      </c>
      <c r="M11" s="12" t="n">
        <v>3300</v>
      </c>
      <c r="N11" s="12" t="n">
        <v>0</v>
      </c>
      <c r="O11" s="12" t="n">
        <v>-89.664</v>
      </c>
      <c r="P11" s="12" t="n">
        <v>1358.395</v>
      </c>
      <c r="Q11" s="12" t="n">
        <v>1600.367</v>
      </c>
      <c r="R11" s="9" t="n">
        <f aca="false">L11+M11+N11+O11-P11+Q11</f>
        <v>14482.308</v>
      </c>
      <c r="S11" s="9" t="n">
        <f aca="false">G11+R11</f>
        <v>26306.64544</v>
      </c>
      <c r="T11" s="9" t="n">
        <f aca="false">K11+R11</f>
        <v>25178.57044</v>
      </c>
      <c r="U11" s="12" t="n">
        <v>1316.668</v>
      </c>
      <c r="V11" s="11" t="n">
        <v>5.707946</v>
      </c>
      <c r="W11" s="12" t="n">
        <v>83.7</v>
      </c>
      <c r="X11" s="9" t="n">
        <f aca="false">V11*W11</f>
        <v>477.7550802</v>
      </c>
      <c r="Y11" s="9" t="n">
        <f aca="false">U11-X11</f>
        <v>838.9129198</v>
      </c>
      <c r="Z11" s="12" t="n">
        <v>1282.399</v>
      </c>
      <c r="AA11" s="12" t="n">
        <v>685.019</v>
      </c>
      <c r="AB11" s="13" t="n">
        <f aca="false">INDEX('10 YR UST'!$B:$B,MATCH(2022,'10 YR UST'!$A:$A,0))</f>
        <v>0.0388</v>
      </c>
      <c r="AC11" s="14" t="n">
        <f aca="false">B11/T11</f>
        <v>0.0748174327247469</v>
      </c>
      <c r="AD11" s="14" t="n">
        <f aca="false">D11/K11</f>
        <v>0.132017815402772</v>
      </c>
      <c r="AE11" s="15" t="n">
        <f aca="false">T11/B11</f>
        <v>13.3658689369762</v>
      </c>
      <c r="AF11" s="15" t="n">
        <f aca="false">K11/D11</f>
        <v>7.57473525030774</v>
      </c>
      <c r="AG11" s="16" t="n">
        <v>0.886</v>
      </c>
      <c r="AH11" s="18" t="s">
        <v>456</v>
      </c>
      <c r="AI11" s="17" t="n">
        <v>0.0529</v>
      </c>
      <c r="AK11" s="12" t="n">
        <v>1929527</v>
      </c>
      <c r="AL11" s="12" t="n">
        <v>1883796</v>
      </c>
      <c r="AM11" s="12" t="n">
        <v>487261</v>
      </c>
      <c r="AN11" s="12" t="n">
        <v>476406</v>
      </c>
      <c r="AO11" s="12" t="n">
        <v>437139</v>
      </c>
      <c r="AP11" s="12" t="n">
        <v>119923</v>
      </c>
      <c r="AQ11" s="12" t="n">
        <v>129404</v>
      </c>
      <c r="AS11" s="12" t="n">
        <v>14482308</v>
      </c>
      <c r="AT11" s="9" t="n">
        <f aca="false">(R11-N11)*1000-AS11</f>
        <v>0</v>
      </c>
      <c r="AU11" s="12" t="n">
        <v>11824338</v>
      </c>
      <c r="AV11" s="9" t="n">
        <f aca="false">(G11+N11)*1000-AU11</f>
        <v>-0.560000000521541</v>
      </c>
      <c r="AW11" s="9" t="n">
        <f aca="false">S11*1000-(AU11+AS11)</f>
        <v>-0.559999998658896</v>
      </c>
    </row>
    <row r="12" customFormat="false" ht="15" hidden="false" customHeight="true" outlineLevel="0" collapsed="false">
      <c r="A12" s="6" t="s">
        <v>457</v>
      </c>
      <c r="B12" s="9" t="n">
        <f aca="false">AL12/1000</f>
        <v>1735.74</v>
      </c>
      <c r="C12" s="9" t="n">
        <f aca="false">AO12*(AQ12/AP12)/1000</f>
        <v>428.102604562039</v>
      </c>
      <c r="D12" s="9" t="n">
        <f aca="false">B12-C12</f>
        <v>1307.63739543796</v>
      </c>
      <c r="E12" s="10" t="n">
        <v>115.18</v>
      </c>
      <c r="F12" s="11" t="n">
        <v>174.592</v>
      </c>
      <c r="G12" s="9" t="n">
        <f aca="false">E12*F12</f>
        <v>20109.50656</v>
      </c>
      <c r="H12" s="12" t="n">
        <v>560.355</v>
      </c>
      <c r="I12" s="12" t="n">
        <v>894.172</v>
      </c>
      <c r="J12" s="9" t="n">
        <f aca="false">H12+I12</f>
        <v>1454.527</v>
      </c>
      <c r="K12" s="9" t="n">
        <f aca="false">G12-J12</f>
        <v>18654.97956</v>
      </c>
      <c r="L12" s="12" t="n">
        <v>9695</v>
      </c>
      <c r="M12" s="12" t="n">
        <v>3300</v>
      </c>
      <c r="N12" s="12" t="n">
        <v>0</v>
      </c>
      <c r="O12" s="12" t="n">
        <v>-98.391</v>
      </c>
      <c r="P12" s="12" t="n">
        <v>1356.579</v>
      </c>
      <c r="Q12" s="12" t="n">
        <v>1383.887</v>
      </c>
      <c r="R12" s="9" t="n">
        <f aca="false">L12+M12+N12+O12-P12+Q12</f>
        <v>12923.917</v>
      </c>
      <c r="S12" s="9" t="n">
        <f aca="false">G12+R12</f>
        <v>33033.42356</v>
      </c>
      <c r="T12" s="9" t="n">
        <f aca="false">K12+R12</f>
        <v>31578.89656</v>
      </c>
      <c r="U12" s="12" t="n">
        <v>1137.961</v>
      </c>
      <c r="V12" s="11" t="n">
        <v>4.591307</v>
      </c>
      <c r="W12" s="12" t="n">
        <v>71.71</v>
      </c>
      <c r="X12" s="9" t="n">
        <f aca="false">V12*W12</f>
        <v>329.24262497</v>
      </c>
      <c r="Y12" s="9" t="n">
        <f aca="false">U12-X12</f>
        <v>808.71837503</v>
      </c>
      <c r="Z12" s="12" t="n">
        <v>1133.227</v>
      </c>
      <c r="AA12" s="12" t="n">
        <v>683.753</v>
      </c>
      <c r="AB12" s="13" t="n">
        <f aca="false">INDEX('10 YR UST'!$B:$B,MATCH(2021,'10 YR UST'!$A:$A,0))</f>
        <v>0.0152</v>
      </c>
      <c r="AC12" s="14" t="n">
        <f aca="false">B12/T12</f>
        <v>0.0549651884353238</v>
      </c>
      <c r="AD12" s="14" t="n">
        <f aca="false">D12/K12</f>
        <v>0.0700958900132915</v>
      </c>
      <c r="AE12" s="15" t="n">
        <f aca="false">T12/B12</f>
        <v>18.193333425513</v>
      </c>
      <c r="AF12" s="15" t="n">
        <f aca="false">K12/D12</f>
        <v>14.2661716658478</v>
      </c>
      <c r="AG12" s="16" t="n">
        <v>0.888</v>
      </c>
      <c r="AH12" s="18" t="s">
        <v>456</v>
      </c>
      <c r="AI12" s="17" t="n">
        <v>-0.0031</v>
      </c>
      <c r="AK12" s="12" t="n">
        <v>1814288</v>
      </c>
      <c r="AL12" s="12" t="n">
        <v>1735740</v>
      </c>
      <c r="AM12" s="12" t="n">
        <v>458443</v>
      </c>
      <c r="AN12" s="12" t="n">
        <v>443880</v>
      </c>
      <c r="AO12" s="12" t="n">
        <v>423346</v>
      </c>
      <c r="AP12" s="12" t="n">
        <v>103331</v>
      </c>
      <c r="AQ12" s="12" t="n">
        <v>104492</v>
      </c>
      <c r="AS12" s="12" t="n">
        <v>12923917</v>
      </c>
      <c r="AT12" s="9" t="n">
        <f aca="false">(R12-N12)*1000-AS12</f>
        <v>0</v>
      </c>
      <c r="AU12" s="12" t="n">
        <v>20109506</v>
      </c>
      <c r="AV12" s="9" t="n">
        <f aca="false">(G12+N12)*1000-AU12</f>
        <v>0.560000002384186</v>
      </c>
      <c r="AW12" s="9" t="n">
        <f aca="false">S12*1000-(AU12+AS12)</f>
        <v>0.560000002384186</v>
      </c>
    </row>
    <row r="13" customFormat="false" ht="15" hidden="false" customHeight="true" outlineLevel="0" collapsed="false">
      <c r="A13" s="6" t="s">
        <v>458</v>
      </c>
      <c r="B13" s="9" t="n">
        <f aca="false">AL13/1000</f>
        <v>1626.131</v>
      </c>
      <c r="C13" s="9" t="n">
        <f aca="false">AO13*(AQ13/AP13)/1000</f>
        <v>436.416154601709</v>
      </c>
      <c r="D13" s="9" t="n">
        <f aca="false">B13-C13</f>
        <v>1189.71484539829</v>
      </c>
      <c r="E13" s="10" t="n">
        <v>94.53</v>
      </c>
      <c r="F13" s="11" t="n">
        <v>173.092</v>
      </c>
      <c r="G13" s="9" t="n">
        <f aca="false">E13*F13</f>
        <v>16362.38676</v>
      </c>
      <c r="H13" s="12" t="n">
        <v>450.954</v>
      </c>
      <c r="I13" s="12" t="n">
        <v>868.773</v>
      </c>
      <c r="J13" s="9" t="n">
        <f aca="false">H13+I13</f>
        <v>1319.727</v>
      </c>
      <c r="K13" s="9" t="n">
        <f aca="false">G13-J13</f>
        <v>15042.65976</v>
      </c>
      <c r="L13" s="12" t="n">
        <v>10200</v>
      </c>
      <c r="M13" s="12" t="n">
        <v>2931.986</v>
      </c>
      <c r="N13" s="12" t="n">
        <v>200</v>
      </c>
      <c r="O13" s="12" t="n">
        <v>-84.228</v>
      </c>
      <c r="P13" s="12" t="n">
        <v>1194.619</v>
      </c>
      <c r="Q13" s="12" t="n">
        <v>1153.628</v>
      </c>
      <c r="R13" s="9" t="n">
        <f aca="false">L13+M13+N13+O13-P13+Q13</f>
        <v>13206.767</v>
      </c>
      <c r="S13" s="9" t="n">
        <f aca="false">G13+R13</f>
        <v>29569.15376</v>
      </c>
      <c r="T13" s="9" t="n">
        <f aca="false">K13+R13</f>
        <v>28249.42676</v>
      </c>
      <c r="U13" s="12" t="n">
        <v>1086.501</v>
      </c>
      <c r="V13" s="11" t="n">
        <v>4.397096</v>
      </c>
      <c r="W13" s="12" t="n">
        <v>78.68</v>
      </c>
      <c r="X13" s="9" t="n">
        <f aca="false">V13*W13</f>
        <v>345.96351328</v>
      </c>
      <c r="Y13" s="9" t="n">
        <f aca="false">U13-X13</f>
        <v>740.53748672</v>
      </c>
      <c r="Z13" s="12" t="n">
        <v>1156.84</v>
      </c>
      <c r="AA13" s="12" t="n">
        <v>688.904</v>
      </c>
      <c r="AB13" s="13" t="n">
        <f aca="false">INDEX('10 YR UST'!$B:$B,MATCH(2020,'10 YR UST'!$A:$A,0))</f>
        <v>0.0093</v>
      </c>
      <c r="AC13" s="14" t="n">
        <f aca="false">B13/T13</f>
        <v>0.0575633273487352</v>
      </c>
      <c r="AD13" s="14" t="n">
        <f aca="false">D13/K13</f>
        <v>0.0790893940552898</v>
      </c>
      <c r="AE13" s="15" t="n">
        <f aca="false">T13/B13</f>
        <v>17.3721715901117</v>
      </c>
      <c r="AF13" s="15" t="n">
        <f aca="false">K13/D13</f>
        <v>12.6439203630884</v>
      </c>
      <c r="AG13" s="16" t="n">
        <v>0.901</v>
      </c>
      <c r="AH13" s="18" t="s">
        <v>456</v>
      </c>
      <c r="AI13" s="17" t="n">
        <v>0.2334</v>
      </c>
      <c r="AK13" s="12" t="n">
        <v>1694075</v>
      </c>
      <c r="AL13" s="12" t="n">
        <v>1626131</v>
      </c>
      <c r="AM13" s="12" t="n">
        <v>398352</v>
      </c>
      <c r="AN13" s="12" t="n">
        <v>371049</v>
      </c>
      <c r="AO13" s="12" t="n">
        <v>431717</v>
      </c>
      <c r="AP13" s="12" t="n">
        <v>111991</v>
      </c>
      <c r="AQ13" s="12" t="n">
        <v>113210</v>
      </c>
      <c r="AS13" s="12" t="n">
        <v>13006767</v>
      </c>
      <c r="AT13" s="9" t="n">
        <f aca="false">(R13-N13)*1000-AS13</f>
        <v>0</v>
      </c>
      <c r="AU13" s="12" t="n">
        <v>16562387</v>
      </c>
      <c r="AV13" s="9" t="n">
        <f aca="false">(G13+N13)*1000-AU13</f>
        <v>-0.239999998360872</v>
      </c>
      <c r="AW13" s="9" t="n">
        <f aca="false">S13*1000-(AU13+AS13)</f>
        <v>-0.239999998360872</v>
      </c>
    </row>
    <row r="14" customFormat="false" ht="15" hidden="false" customHeight="true" outlineLevel="0" collapsed="false">
      <c r="A14" s="6" t="s">
        <v>459</v>
      </c>
      <c r="B14" s="9" t="n">
        <f aca="false">AL14/1000</f>
        <v>1739.85</v>
      </c>
      <c r="C14" s="9" t="n">
        <f aca="false">AO14*(AQ14/AP14)/1000</f>
        <v>412.203510730949</v>
      </c>
      <c r="D14" s="9" t="n">
        <f aca="false">B14-C14</f>
        <v>1327.64648926905</v>
      </c>
      <c r="E14" s="10" t="n">
        <v>137.86</v>
      </c>
      <c r="F14" s="11" t="n">
        <v>172.698</v>
      </c>
      <c r="G14" s="9" t="n">
        <f aca="false">E14*F14</f>
        <v>23808.14628</v>
      </c>
      <c r="H14" s="12" t="n">
        <v>254.828</v>
      </c>
      <c r="I14" s="12" t="n">
        <v>789.736</v>
      </c>
      <c r="J14" s="9" t="n">
        <f aca="false">H14+I14</f>
        <v>1044.564</v>
      </c>
      <c r="K14" s="9" t="n">
        <f aca="false">G14-J14</f>
        <v>22763.58228</v>
      </c>
      <c r="L14" s="12" t="n">
        <v>8950</v>
      </c>
      <c r="M14" s="12" t="n">
        <v>2949.154</v>
      </c>
      <c r="N14" s="12" t="n">
        <v>200</v>
      </c>
      <c r="O14" s="12" t="n">
        <v>-87.348</v>
      </c>
      <c r="P14" s="12" t="n">
        <v>1199.854</v>
      </c>
      <c r="Q14" s="12" t="n">
        <v>980.11</v>
      </c>
      <c r="R14" s="9" t="n">
        <f aca="false">L14+M14+N14+O14-P14+Q14</f>
        <v>11792.062</v>
      </c>
      <c r="S14" s="9" t="n">
        <f aca="false">G14+R14</f>
        <v>35600.20828</v>
      </c>
      <c r="T14" s="9" t="n">
        <f aca="false">K14+R14</f>
        <v>34555.64428</v>
      </c>
      <c r="U14" s="12" t="n">
        <v>1209.601</v>
      </c>
      <c r="V14" s="11" t="n">
        <v>5.053637</v>
      </c>
      <c r="W14" s="12" t="n">
        <v>82.12</v>
      </c>
      <c r="X14" s="9" t="n">
        <f aca="false">V14*W14</f>
        <v>415.00467044</v>
      </c>
      <c r="Y14" s="9" t="n">
        <f aca="false">U14-X14</f>
        <v>794.59632956</v>
      </c>
      <c r="Z14" s="12" t="n">
        <v>1181.165</v>
      </c>
      <c r="AA14" s="12" t="n">
        <v>666.294</v>
      </c>
      <c r="AB14" s="13" t="n">
        <f aca="false">INDEX('10 YR UST'!$B:$B,MATCH(2019,'10 YR UST'!$A:$A,0))</f>
        <v>0.0192</v>
      </c>
      <c r="AC14" s="14" t="n">
        <f aca="false">B14/T14</f>
        <v>0.0503492276370892</v>
      </c>
      <c r="AD14" s="14" t="n">
        <f aca="false">D14/K14</f>
        <v>0.0583232670912045</v>
      </c>
      <c r="AE14" s="15" t="n">
        <f aca="false">T14/B14</f>
        <v>19.8612778572866</v>
      </c>
      <c r="AF14" s="15" t="n">
        <f aca="false">K14/D14</f>
        <v>17.1458158960167</v>
      </c>
      <c r="AG14" s="16" t="n">
        <v>0.93</v>
      </c>
      <c r="AH14" s="18" t="s">
        <v>456</v>
      </c>
      <c r="AI14" s="17" t="n">
        <v>0.2619</v>
      </c>
      <c r="AK14" s="12" t="n">
        <v>1826123</v>
      </c>
      <c r="AL14" s="12" t="n">
        <v>1739850</v>
      </c>
      <c r="AM14" s="12" t="n">
        <v>467632</v>
      </c>
      <c r="AN14" s="12" t="n">
        <v>447126</v>
      </c>
      <c r="AO14" s="12" t="n">
        <v>412717</v>
      </c>
      <c r="AP14" s="12" t="n">
        <v>102880</v>
      </c>
      <c r="AQ14" s="12" t="n">
        <v>102752</v>
      </c>
      <c r="AS14" s="12" t="n">
        <v>11592062</v>
      </c>
      <c r="AT14" s="9" t="n">
        <f aca="false">(R14-N14)*1000-AS14</f>
        <v>0</v>
      </c>
      <c r="AU14" s="12" t="n">
        <v>24008146</v>
      </c>
      <c r="AV14" s="9" t="n">
        <f aca="false">(G14+N14)*1000-AU14</f>
        <v>0.280000004917383</v>
      </c>
      <c r="AW14" s="9" t="n">
        <f aca="false">S14*1000-(AU14+AS14)</f>
        <v>0.280000008642674</v>
      </c>
    </row>
    <row r="15" customFormat="false" ht="15" hidden="false" customHeight="true" outlineLevel="0" collapsed="false">
      <c r="A15" s="6" t="s">
        <v>460</v>
      </c>
      <c r="B15" s="9" t="n">
        <f aca="false">AL15/1000</f>
        <v>1551.842</v>
      </c>
      <c r="C15" s="9" t="n">
        <f aca="false">AO15*(AQ15/AP15)/1000</f>
        <v>377.700837554046</v>
      </c>
      <c r="D15" s="9" t="n">
        <f aca="false">B15-C15</f>
        <v>1174.14116244595</v>
      </c>
      <c r="E15" s="10" t="n">
        <v>112.55</v>
      </c>
      <c r="F15" s="11" t="n">
        <v>172.233</v>
      </c>
      <c r="G15" s="9" t="n">
        <f aca="false">E15*F15</f>
        <v>19384.82415</v>
      </c>
      <c r="H15" s="12" t="n">
        <v>200.498</v>
      </c>
      <c r="I15" s="12" t="n">
        <v>578.796</v>
      </c>
      <c r="J15" s="9" t="n">
        <f aca="false">H15+I15</f>
        <v>779.294</v>
      </c>
      <c r="K15" s="9" t="n">
        <f aca="false">G15-J15</f>
        <v>18605.53015</v>
      </c>
      <c r="L15" s="12" t="n">
        <v>8100</v>
      </c>
      <c r="M15" s="12" t="n">
        <v>2995.328</v>
      </c>
      <c r="N15" s="12" t="n">
        <v>200</v>
      </c>
      <c r="O15" s="12" t="n">
        <v>-87.571</v>
      </c>
      <c r="P15" s="12" t="n">
        <v>1204.774</v>
      </c>
      <c r="Q15" s="12" t="n">
        <v>890.574</v>
      </c>
      <c r="R15" s="9" t="n">
        <f aca="false">L15+M15+N15+O15-P15+Q15</f>
        <v>10893.557</v>
      </c>
      <c r="S15" s="9" t="n">
        <f aca="false">G15+R15</f>
        <v>30278.38115</v>
      </c>
      <c r="T15" s="9" t="n">
        <f aca="false">K15+R15</f>
        <v>29499.08715</v>
      </c>
      <c r="U15" s="12" t="n">
        <v>1084.827</v>
      </c>
      <c r="V15" s="11" t="n">
        <v>4.306399</v>
      </c>
      <c r="W15" s="12" t="n">
        <v>67.49</v>
      </c>
      <c r="X15" s="9" t="n">
        <f aca="false">V15*W15</f>
        <v>290.63886851</v>
      </c>
      <c r="Y15" s="9" t="n">
        <f aca="false">U15-X15</f>
        <v>794.18813149</v>
      </c>
      <c r="Z15" s="12" t="n">
        <v>1150.245</v>
      </c>
      <c r="AA15" s="12" t="n">
        <v>587.628</v>
      </c>
      <c r="AB15" s="13" t="n">
        <f aca="false">INDEX('10 YR UST'!$B:$B,MATCH(2018,'10 YR UST'!$A:$A,0))</f>
        <v>0.0269</v>
      </c>
      <c r="AC15" s="14" t="n">
        <f aca="false">B15/T15</f>
        <v>0.0526064414166118</v>
      </c>
      <c r="AD15" s="14" t="n">
        <f aca="false">D15/K15</f>
        <v>0.0631071059507517</v>
      </c>
      <c r="AE15" s="15" t="n">
        <f aca="false">T15/B15</f>
        <v>19.0090789848451</v>
      </c>
      <c r="AF15" s="15" t="n">
        <f aca="false">K15/D15</f>
        <v>15.8460760469731</v>
      </c>
      <c r="AG15" s="16" t="n">
        <v>0.914</v>
      </c>
      <c r="AH15" s="18" t="s">
        <v>456</v>
      </c>
      <c r="AI15" s="17" t="n">
        <v>0.0947</v>
      </c>
      <c r="AK15" s="12" t="n">
        <v>1649314</v>
      </c>
      <c r="AL15" s="12" t="n">
        <v>1551842</v>
      </c>
      <c r="AM15" s="12" t="n">
        <v>429479</v>
      </c>
      <c r="AN15" s="12" t="n">
        <v>408924</v>
      </c>
      <c r="AO15" s="12" t="n">
        <v>378168</v>
      </c>
      <c r="AP15" s="12" t="n">
        <v>100378</v>
      </c>
      <c r="AQ15" s="12" t="n">
        <v>100254</v>
      </c>
      <c r="AS15" s="12" t="n">
        <v>10693557</v>
      </c>
      <c r="AT15" s="9" t="n">
        <f aca="false">(R15-N15)*1000-AS15</f>
        <v>0</v>
      </c>
      <c r="AU15" s="12" t="n">
        <v>19584824</v>
      </c>
      <c r="AV15" s="9" t="n">
        <f aca="false">(G15+N15)*1000-AU15</f>
        <v>0.149999998509884</v>
      </c>
      <c r="AW15" s="9" t="n">
        <f aca="false">S15*1000-(AU15+AS15)</f>
        <v>0.150000002235174</v>
      </c>
    </row>
    <row r="16" customFormat="false" ht="15" hidden="false" customHeight="true" outlineLevel="0" collapsed="false">
      <c r="A16" s="6" t="s">
        <v>461</v>
      </c>
      <c r="B16" s="9" t="n">
        <f aca="false">AL16/1000</f>
        <v>1495.198</v>
      </c>
      <c r="C16" s="9" t="n">
        <f aca="false">AO16*(AQ16/AP16)/1000</f>
        <v>353.188646580656</v>
      </c>
      <c r="D16" s="9" t="n">
        <f aca="false">B16-C16</f>
        <v>1142.00935341934</v>
      </c>
      <c r="E16" s="10" t="n">
        <v>130.03</v>
      </c>
      <c r="F16" s="19" t="n">
        <f aca="false">(AU16/1000-N16)/E16</f>
        <v>171.954002922403</v>
      </c>
      <c r="G16" s="9" t="n">
        <f aca="false">E16*F16</f>
        <v>22359.179</v>
      </c>
      <c r="H16" s="12" t="n">
        <v>204.925</v>
      </c>
      <c r="I16" s="12" t="n">
        <v>1269.338</v>
      </c>
      <c r="J16" s="9" t="n">
        <f aca="false">H16+I16</f>
        <v>1474.263</v>
      </c>
      <c r="K16" s="9" t="n">
        <f aca="false">G16-J16</f>
        <v>20884.916</v>
      </c>
      <c r="L16" s="12" t="n">
        <v>7292.33</v>
      </c>
      <c r="M16" s="12" t="n">
        <v>2979.281</v>
      </c>
      <c r="N16" s="12" t="n">
        <v>200</v>
      </c>
      <c r="O16" s="12" t="n">
        <v>0</v>
      </c>
      <c r="P16" s="12" t="n">
        <v>1209.28</v>
      </c>
      <c r="Q16" s="12" t="n">
        <v>608.874</v>
      </c>
      <c r="R16" s="9" t="n">
        <f aca="false">L16+M16+N16+O16-P16+Q16</f>
        <v>9871.205</v>
      </c>
      <c r="S16" s="9" t="n">
        <f aca="false">G16+R16</f>
        <v>32230.384</v>
      </c>
      <c r="T16" s="9" t="n">
        <f aca="false">K16+R16</f>
        <v>30756.121</v>
      </c>
      <c r="U16" s="12" t="n">
        <v>1068.119</v>
      </c>
      <c r="V16" s="11" t="n">
        <v>4.88934</v>
      </c>
      <c r="W16" s="12" t="n">
        <v>57.58</v>
      </c>
      <c r="X16" s="9" t="n">
        <f aca="false">V16*W16</f>
        <v>281.5281972</v>
      </c>
      <c r="Y16" s="9" t="n">
        <f aca="false">U16-X16</f>
        <v>786.5908028</v>
      </c>
      <c r="Z16" s="12" t="n">
        <v>907.445</v>
      </c>
      <c r="AA16" s="12" t="n">
        <v>526.578</v>
      </c>
      <c r="AB16" s="13" t="n">
        <f aca="false">INDEX('10 YR UST'!$B:$B,MATCH(2017,'10 YR UST'!$A:$A,0))</f>
        <v>0.024</v>
      </c>
      <c r="AC16" s="14" t="n">
        <f aca="false">B16/T16</f>
        <v>0.0486146481215886</v>
      </c>
      <c r="AD16" s="14" t="n">
        <f aca="false">D16/K16</f>
        <v>0.0546810604083514</v>
      </c>
      <c r="AE16" s="15" t="n">
        <f aca="false">T16/B16</f>
        <v>20.5699318752433</v>
      </c>
      <c r="AF16" s="15" t="n">
        <f aca="false">K16/D16</f>
        <v>18.2878677284626</v>
      </c>
      <c r="AG16" s="16" t="n">
        <v>0.907</v>
      </c>
      <c r="AH16" s="18" t="s">
        <v>456</v>
      </c>
      <c r="AI16" s="17" t="n">
        <v>0.1132</v>
      </c>
      <c r="AK16" s="12" t="n">
        <v>1605435</v>
      </c>
      <c r="AL16" s="12" t="n">
        <v>1495198</v>
      </c>
      <c r="AM16" s="12" t="n">
        <v>403260</v>
      </c>
      <c r="AN16" s="12" t="n">
        <v>374576</v>
      </c>
      <c r="AO16" s="12" t="n">
        <v>374481</v>
      </c>
      <c r="AP16" s="12" t="n">
        <v>91772</v>
      </c>
      <c r="AQ16" s="12" t="n">
        <v>86554</v>
      </c>
      <c r="AS16" s="12" t="n">
        <v>9671205</v>
      </c>
      <c r="AT16" s="9" t="n">
        <f aca="false">(R16-N16)*1000-AS16</f>
        <v>0</v>
      </c>
      <c r="AU16" s="12" t="n">
        <v>22559179</v>
      </c>
      <c r="AV16" s="9" t="n">
        <f aca="false">(G16+N16)*1000-AU16</f>
        <v>0</v>
      </c>
      <c r="AW16" s="9" t="n">
        <f aca="false">S16*1000-(AU16+AS16)</f>
        <v>0</v>
      </c>
    </row>
    <row r="17" customFormat="false" ht="15" hidden="false" customHeight="true" outlineLevel="0" collapsed="false">
      <c r="A17" s="6" t="s">
        <v>462</v>
      </c>
      <c r="B17" s="9" t="n">
        <f aca="false">AK17*(AN17/AM17)/1000</f>
        <v>1482.70071659118</v>
      </c>
      <c r="C17" s="9" t="n">
        <f aca="false">AO17*(AQ17/AP17)/1000</f>
        <v>354.124207107543</v>
      </c>
      <c r="D17" s="9" t="n">
        <f aca="false">B17-C17</f>
        <v>1128.57650948363</v>
      </c>
      <c r="E17" s="10" t="n">
        <v>125.78</v>
      </c>
      <c r="F17" s="19" t="n">
        <f aca="false">(AU17/1000-N17)/E17</f>
        <v>171.774002226109</v>
      </c>
      <c r="G17" s="9" t="n">
        <f aca="false">E17*F17</f>
        <v>21605.734</v>
      </c>
      <c r="H17" s="12" t="n">
        <v>246.656</v>
      </c>
      <c r="I17" s="12" t="n">
        <v>1037.959</v>
      </c>
      <c r="J17" s="9" t="n">
        <f aca="false">H17+I17</f>
        <v>1284.615</v>
      </c>
      <c r="K17" s="9" t="n">
        <f aca="false">G17-J17</f>
        <v>20321.119</v>
      </c>
      <c r="L17" s="12" t="n">
        <v>7245.953</v>
      </c>
      <c r="M17" s="12" t="n">
        <v>2550.18</v>
      </c>
      <c r="N17" s="12" t="n">
        <v>200</v>
      </c>
      <c r="O17" s="12" t="n">
        <v>0</v>
      </c>
      <c r="P17" s="12" t="n">
        <v>1144.473</v>
      </c>
      <c r="Q17" s="12" t="n">
        <v>318.193</v>
      </c>
      <c r="R17" s="9" t="n">
        <f aca="false">L17+M17+N17+O17-P17+Q17</f>
        <v>9169.853</v>
      </c>
      <c r="S17" s="9" t="n">
        <f aca="false">G17+R17</f>
        <v>30775.587</v>
      </c>
      <c r="T17" s="9" t="n">
        <f aca="false">K17+R17</f>
        <v>29490.972</v>
      </c>
      <c r="U17" s="12" t="n">
        <v>1034.251</v>
      </c>
      <c r="V17" s="11" t="n">
        <v>4.970991</v>
      </c>
      <c r="W17" s="12" t="n">
        <v>62.04</v>
      </c>
      <c r="X17" s="9" t="n">
        <f aca="false">V17*W17</f>
        <v>308.40028164</v>
      </c>
      <c r="Y17" s="9" t="n">
        <f aca="false">U17-X17</f>
        <v>725.85071836</v>
      </c>
      <c r="Z17" s="12" t="n">
        <v>1036.874</v>
      </c>
      <c r="AA17" s="12" t="n">
        <v>671.626</v>
      </c>
      <c r="AB17" s="13" t="n">
        <f aca="false">INDEX('10 YR UST'!$B:$B,MATCH(2016,'10 YR UST'!$A:$A,0))</f>
        <v>0.0245</v>
      </c>
      <c r="AC17" s="14" t="n">
        <f aca="false">B17/T17</f>
        <v>0.0502764275314892</v>
      </c>
      <c r="AD17" s="14" t="n">
        <f aca="false">D17/K17</f>
        <v>0.0555371241851216</v>
      </c>
      <c r="AE17" s="15" t="n">
        <f aca="false">T17/B17</f>
        <v>19.8900369238383</v>
      </c>
      <c r="AF17" s="15" t="n">
        <f aca="false">K17/D17</f>
        <v>18.0059737458984</v>
      </c>
      <c r="AG17" s="16" t="n">
        <v>0.902</v>
      </c>
      <c r="AH17" s="18" t="s">
        <v>456</v>
      </c>
      <c r="AI17" s="17" t="n">
        <v>0.2455</v>
      </c>
      <c r="AK17" s="12" t="n">
        <v>1601302</v>
      </c>
      <c r="AM17" s="12" t="n">
        <v>394529</v>
      </c>
      <c r="AN17" s="12" t="n">
        <v>365308</v>
      </c>
      <c r="AO17" s="12" t="n">
        <v>412849</v>
      </c>
      <c r="AP17" s="12" t="n">
        <v>97896</v>
      </c>
      <c r="AQ17" s="12" t="n">
        <v>83971</v>
      </c>
      <c r="AS17" s="12" t="n">
        <v>8969853</v>
      </c>
      <c r="AT17" s="9" t="n">
        <f aca="false">(R17-N17)*1000-AS17</f>
        <v>0</v>
      </c>
      <c r="AU17" s="12" t="n">
        <v>21805734</v>
      </c>
      <c r="AV17" s="9" t="n">
        <f aca="false">(G17+N17)*1000-AU17</f>
        <v>0</v>
      </c>
      <c r="AW17" s="9" t="n">
        <f aca="false">S17*1000-(AU17+AS17)</f>
        <v>0</v>
      </c>
    </row>
    <row r="20" customFormat="false" ht="15" hidden="false" customHeight="true" outlineLevel="0" collapsed="false">
      <c r="A20" s="6" t="s">
        <v>463</v>
      </c>
    </row>
    <row r="21" customFormat="false" ht="15" hidden="false" customHeight="true" outlineLevel="0" collapsed="false">
      <c r="A21" s="18" t="s">
        <v>464</v>
      </c>
    </row>
    <row r="22" customFormat="false" ht="15" hidden="false" customHeight="true" outlineLevel="0" collapsed="false">
      <c r="A22" s="5" t="s">
        <v>465</v>
      </c>
    </row>
    <row r="23" customFormat="false" ht="15" hidden="false" customHeight="true" outlineLevel="0" collapsed="false">
      <c r="A23" s="5" t="s">
        <v>466</v>
      </c>
    </row>
    <row r="24" customFormat="false" ht="15" hidden="false" customHeight="true" outlineLevel="0" collapsed="false">
      <c r="A24" s="18" t="s">
        <v>467</v>
      </c>
    </row>
    <row r="25" customFormat="false" ht="15" hidden="false" customHeight="true" outlineLevel="0" collapsed="false">
      <c r="A25" s="18" t="s">
        <v>468</v>
      </c>
    </row>
    <row r="26" customFormat="false" ht="15" hidden="false" customHeight="true" outlineLevel="0" collapsed="false">
      <c r="A26" s="5" t="s">
        <v>469</v>
      </c>
    </row>
    <row r="27" customFormat="false" ht="15" hidden="false" customHeight="true" outlineLevel="0" collapsed="false">
      <c r="A27" s="18" t="s">
        <v>470</v>
      </c>
    </row>
    <row r="28" customFormat="false" ht="15" hidden="false" customHeight="true" outlineLevel="0" collapsed="false">
      <c r="A28" s="18" t="s">
        <v>471</v>
      </c>
    </row>
    <row r="29" customFormat="false" ht="15" hidden="false" customHeight="true" outlineLevel="0" collapsed="false">
      <c r="A29" s="18" t="s">
        <v>472</v>
      </c>
    </row>
    <row r="30" customFormat="false" ht="15" hidden="false" customHeight="true" outlineLevel="0" collapsed="false">
      <c r="A30" s="18" t="s">
        <v>473</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G3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1" ySplit="7" topLeftCell="B8" activePane="bottomRight" state="frozen"/>
      <selection pane="topLeft" activeCell="A1" activeCellId="0" sqref="A1"/>
      <selection pane="topRight" activeCell="B1" activeCellId="0" sqref="B1"/>
      <selection pane="bottomLeft" activeCell="A8" activeCellId="0" sqref="A8"/>
      <selection pane="bottomRight" activeCell="A1" activeCellId="0" sqref="A1"/>
    </sheetView>
  </sheetViews>
  <sheetFormatPr defaultColWidth="8.6796875" defaultRowHeight="15" zeroHeight="false" outlineLevelRow="0" outlineLevelCol="0"/>
  <cols>
    <col collapsed="false" customWidth="true" hidden="false" outlineLevel="0" max="33" min="1" style="1" width="15"/>
  </cols>
  <sheetData>
    <row r="1" customFormat="false" ht="15" hidden="false" customHeight="true" outlineLevel="0" collapsed="false">
      <c r="A1" s="4" t="s">
        <v>474</v>
      </c>
    </row>
    <row r="3" customFormat="false" ht="15" hidden="false" customHeight="true" outlineLevel="0" collapsed="false">
      <c r="A3" s="18" t="s">
        <v>475</v>
      </c>
    </row>
    <row r="4" customFormat="false" ht="15" hidden="false" customHeight="true" outlineLevel="0" collapsed="false">
      <c r="A4" s="6" t="s">
        <v>395</v>
      </c>
    </row>
    <row r="6" customFormat="false" ht="15" hidden="false" customHeight="true" outlineLevel="0" collapsed="false">
      <c r="A6" s="7"/>
      <c r="B6" s="7" t="s">
        <v>401</v>
      </c>
      <c r="C6" s="7" t="s">
        <v>401</v>
      </c>
      <c r="D6" s="7" t="s">
        <v>398</v>
      </c>
      <c r="E6" s="7" t="s">
        <v>399</v>
      </c>
      <c r="F6" s="7" t="s">
        <v>399</v>
      </c>
      <c r="G6" s="7" t="s">
        <v>398</v>
      </c>
      <c r="H6" s="7" t="s">
        <v>401</v>
      </c>
      <c r="I6" s="7" t="s">
        <v>401</v>
      </c>
      <c r="J6" s="7" t="s">
        <v>398</v>
      </c>
      <c r="K6" s="7" t="s">
        <v>398</v>
      </c>
      <c r="L6" s="7" t="s">
        <v>399</v>
      </c>
      <c r="M6" s="7" t="s">
        <v>399</v>
      </c>
      <c r="N6" s="7" t="s">
        <v>399</v>
      </c>
      <c r="O6" s="7" t="s">
        <v>398</v>
      </c>
      <c r="P6" s="7" t="s">
        <v>398</v>
      </c>
      <c r="Q6" s="7" t="s">
        <v>398</v>
      </c>
      <c r="R6" s="7" t="s">
        <v>476</v>
      </c>
      <c r="S6" s="7" t="s">
        <v>477</v>
      </c>
      <c r="T6" s="7" t="s">
        <v>477</v>
      </c>
      <c r="U6" s="7" t="s">
        <v>476</v>
      </c>
      <c r="V6" s="7" t="s">
        <v>398</v>
      </c>
      <c r="W6" s="7" t="s">
        <v>401</v>
      </c>
      <c r="X6" s="7" t="s">
        <v>401</v>
      </c>
      <c r="Y6" s="7" t="s">
        <v>478</v>
      </c>
      <c r="Z6" s="7" t="s">
        <v>398</v>
      </c>
      <c r="AA6" s="7" t="s">
        <v>398</v>
      </c>
      <c r="AB6" s="7" t="s">
        <v>398</v>
      </c>
      <c r="AC6" s="7" t="s">
        <v>398</v>
      </c>
      <c r="AD6" s="7" t="s">
        <v>476</v>
      </c>
      <c r="AE6" s="7" t="s">
        <v>479</v>
      </c>
      <c r="AF6" s="7" t="s">
        <v>480</v>
      </c>
      <c r="AG6" s="7" t="s">
        <v>480</v>
      </c>
    </row>
    <row r="7" customFormat="false" ht="53.25" hidden="false" customHeight="true" outlineLevel="0" collapsed="false">
      <c r="A7" s="8" t="s">
        <v>405</v>
      </c>
      <c r="B7" s="8" t="s">
        <v>481</v>
      </c>
      <c r="C7" s="8" t="s">
        <v>482</v>
      </c>
      <c r="D7" s="8" t="s">
        <v>408</v>
      </c>
      <c r="E7" s="8" t="s">
        <v>409</v>
      </c>
      <c r="F7" s="8" t="s">
        <v>483</v>
      </c>
      <c r="G7" s="8" t="s">
        <v>484</v>
      </c>
      <c r="H7" s="8" t="s">
        <v>485</v>
      </c>
      <c r="I7" s="8" t="s">
        <v>486</v>
      </c>
      <c r="J7" s="8" t="s">
        <v>414</v>
      </c>
      <c r="K7" s="8" t="s">
        <v>415</v>
      </c>
      <c r="L7" s="8" t="s">
        <v>487</v>
      </c>
      <c r="M7" s="8" t="s">
        <v>488</v>
      </c>
      <c r="N7" s="8" t="s">
        <v>418</v>
      </c>
      <c r="O7" s="8" t="s">
        <v>489</v>
      </c>
      <c r="P7" s="8" t="s">
        <v>423</v>
      </c>
      <c r="Q7" s="8" t="s">
        <v>424</v>
      </c>
      <c r="R7" s="8" t="s">
        <v>490</v>
      </c>
      <c r="S7" s="8" t="s">
        <v>491</v>
      </c>
      <c r="T7" s="8" t="s">
        <v>492</v>
      </c>
      <c r="U7" s="8" t="s">
        <v>493</v>
      </c>
      <c r="V7" s="8" t="s">
        <v>429</v>
      </c>
      <c r="W7" s="8" t="s">
        <v>430</v>
      </c>
      <c r="X7" s="8" t="s">
        <v>494</v>
      </c>
      <c r="Y7" s="8" t="s">
        <v>432</v>
      </c>
      <c r="Z7" s="8" t="s">
        <v>433</v>
      </c>
      <c r="AA7" s="8" t="s">
        <v>434</v>
      </c>
      <c r="AB7" s="8" t="s">
        <v>435</v>
      </c>
      <c r="AC7" s="8" t="s">
        <v>436</v>
      </c>
      <c r="AD7" s="8" t="s">
        <v>495</v>
      </c>
      <c r="AE7" s="8" t="s">
        <v>496</v>
      </c>
      <c r="AF7" s="8" t="s">
        <v>497</v>
      </c>
      <c r="AG7" s="8" t="s">
        <v>498</v>
      </c>
    </row>
    <row r="8" customFormat="false" ht="15" hidden="false" customHeight="true" outlineLevel="0" collapsed="false">
      <c r="A8" s="6" t="s">
        <v>452</v>
      </c>
      <c r="B8" s="9" t="n">
        <f aca="false">'BXP w JV'!B8</f>
        <v>1976.785</v>
      </c>
      <c r="C8" s="9" t="n">
        <f aca="false">'BXP w JV'!C8</f>
        <v>671.05981238777</v>
      </c>
      <c r="D8" s="9" t="n">
        <f aca="false">B8-C8</f>
        <v>1305.72518761223</v>
      </c>
      <c r="E8" s="20" t="n">
        <f aca="false">'BXP w JV'!E8</f>
        <v>67.48</v>
      </c>
      <c r="F8" s="19" t="n">
        <f aca="false">'BXP w JV'!F8</f>
        <v>176.8</v>
      </c>
      <c r="G8" s="9" t="n">
        <f aca="false">E8*F8</f>
        <v>11930.464</v>
      </c>
      <c r="H8" s="9" t="n">
        <f aca="false">'BXP w JV'!H8</f>
        <v>518.492</v>
      </c>
      <c r="I8" s="9" t="n">
        <f aca="false">'BXP w JV'!I8</f>
        <v>1475.257</v>
      </c>
      <c r="J8" s="9" t="n">
        <f aca="false">H8+I8</f>
        <v>1993.749</v>
      </c>
      <c r="K8" s="9" t="n">
        <f aca="false">G8-J8</f>
        <v>9936.715</v>
      </c>
      <c r="L8" s="9" t="n">
        <f aca="false">'BXP w JV'!L8+'BXP w JV'!O8</f>
        <v>12311.42</v>
      </c>
      <c r="M8" s="9" t="n">
        <f aca="false">'BXP w JV'!M8-'BXP w JV'!P8+'BXP w JV'!Q8</f>
        <v>4155.369</v>
      </c>
      <c r="N8" s="9" t="n">
        <f aca="false">'BXP w JV'!N8</f>
        <v>0</v>
      </c>
      <c r="O8" s="9" t="n">
        <f aca="false">L8+M8+N8</f>
        <v>16466.789</v>
      </c>
      <c r="P8" s="9" t="n">
        <f aca="false">G8+O8</f>
        <v>28397.253</v>
      </c>
      <c r="Q8" s="9" t="n">
        <f aca="false">K8+O8</f>
        <v>26403.504</v>
      </c>
      <c r="R8" s="9" t="n">
        <f aca="false">'BXP w JV'!U8</f>
        <v>1209.636</v>
      </c>
      <c r="S8" s="18" t="s">
        <v>456</v>
      </c>
      <c r="T8" s="18" t="s">
        <v>456</v>
      </c>
      <c r="U8" s="9" t="n">
        <f aca="false">'BXP w JV'!X8</f>
        <v>372.18124944</v>
      </c>
      <c r="V8" s="9" t="n">
        <f aca="false">R8-U8</f>
        <v>837.45475056</v>
      </c>
      <c r="W8" s="9" t="n">
        <f aca="false">'BXP w JV'!Z8</f>
        <v>1245.157</v>
      </c>
      <c r="X8" s="9" t="n">
        <f aca="false">'BXP w JV'!AA8</f>
        <v>643.107</v>
      </c>
      <c r="Y8" s="13" t="n">
        <f aca="false">INDEX('10 YR UST'!$B:$B,MATCH(2025,'10 YR UST'!$A:$A,0))</f>
        <v>0.0418</v>
      </c>
      <c r="Z8" s="14" t="n">
        <f aca="false">B8/Q8</f>
        <v>0.0748682826340019</v>
      </c>
      <c r="AA8" s="14" t="n">
        <f aca="false">D8/K8</f>
        <v>0.131404109669265</v>
      </c>
      <c r="AB8" s="15" t="n">
        <f aca="false">Q8/B8</f>
        <v>13.3567909509633</v>
      </c>
      <c r="AC8" s="15" t="n">
        <f aca="false">K8/D8</f>
        <v>7.61011206207272</v>
      </c>
      <c r="AD8" s="14" t="n">
        <f aca="false">'BXP w JV'!AI8</f>
        <v>-0.0541</v>
      </c>
      <c r="AE8" s="14" t="n">
        <f aca="false">'BXP w JV'!AG8</f>
        <v>0.867</v>
      </c>
      <c r="AF8" s="18" t="s">
        <v>456</v>
      </c>
      <c r="AG8" s="18" t="s">
        <v>456</v>
      </c>
    </row>
    <row r="9" customFormat="false" ht="15" hidden="false" customHeight="true" outlineLevel="0" collapsed="false">
      <c r="A9" s="6" t="s">
        <v>453</v>
      </c>
      <c r="B9" s="9" t="n">
        <f aca="false">'BXP w JV'!B9</f>
        <v>1984.056</v>
      </c>
      <c r="C9" s="9" t="n">
        <f aca="false">'BXP w JV'!C9</f>
        <v>671.040564170433</v>
      </c>
      <c r="D9" s="9" t="n">
        <f aca="false">B9-C9</f>
        <v>1313.01543582957</v>
      </c>
      <c r="E9" s="20" t="n">
        <f aca="false">'BXP w JV'!E9</f>
        <v>74.36</v>
      </c>
      <c r="F9" s="19" t="n">
        <f aca="false">'BXP w JV'!F9</f>
        <v>176.241</v>
      </c>
      <c r="G9" s="9" t="n">
        <f aca="false">E9*F9</f>
        <v>13105.28076</v>
      </c>
      <c r="H9" s="9" t="n">
        <f aca="false">'BXP w JV'!H9</f>
        <v>714.05</v>
      </c>
      <c r="I9" s="9" t="n">
        <f aca="false">'BXP w JV'!I9</f>
        <v>764.64</v>
      </c>
      <c r="J9" s="9" t="n">
        <f aca="false">H9+I9</f>
        <v>1478.69</v>
      </c>
      <c r="K9" s="9" t="n">
        <f aca="false">G9-J9</f>
        <v>11626.59076</v>
      </c>
      <c r="L9" s="9" t="n">
        <f aca="false">'BXP w JV'!L9+'BXP w JV'!O9</f>
        <v>11918.186</v>
      </c>
      <c r="M9" s="9" t="n">
        <f aca="false">'BXP w JV'!M9-'BXP w JV'!P9+'BXP w JV'!Q9</f>
        <v>4323.71</v>
      </c>
      <c r="N9" s="9" t="n">
        <f aca="false">'BXP w JV'!N9</f>
        <v>0</v>
      </c>
      <c r="O9" s="9" t="n">
        <f aca="false">L9+M9+N9</f>
        <v>16241.896</v>
      </c>
      <c r="P9" s="9" t="n">
        <f aca="false">G9+O9</f>
        <v>29347.17676</v>
      </c>
      <c r="Q9" s="9" t="n">
        <f aca="false">K9+O9</f>
        <v>27868.48676</v>
      </c>
      <c r="R9" s="9" t="n">
        <f aca="false">'BXP w JV'!U9</f>
        <v>1248.026</v>
      </c>
      <c r="S9" s="18" t="s">
        <v>456</v>
      </c>
      <c r="T9" s="18" t="s">
        <v>456</v>
      </c>
      <c r="U9" s="9" t="n">
        <f aca="false">'BXP w JV'!X9</f>
        <v>319.03471704</v>
      </c>
      <c r="V9" s="9" t="n">
        <f aca="false">R9-U9</f>
        <v>928.99128296</v>
      </c>
      <c r="W9" s="9" t="n">
        <f aca="false">'BXP w JV'!Z9</f>
        <v>1234.501</v>
      </c>
      <c r="X9" s="9" t="n">
        <f aca="false">'BXP w JV'!AA9</f>
        <v>689.87</v>
      </c>
      <c r="Y9" s="13" t="n">
        <f aca="false">INDEX('10 YR UST'!$B:$B,MATCH(2024,'10 YR UST'!$A:$A,0))</f>
        <v>0.0458</v>
      </c>
      <c r="Z9" s="14" t="n">
        <f aca="false">B9/Q9</f>
        <v>0.0711935318586347</v>
      </c>
      <c r="AA9" s="14" t="n">
        <f aca="false">D9/K9</f>
        <v>0.112932110790968</v>
      </c>
      <c r="AB9" s="15" t="n">
        <f aca="false">Q9/B9</f>
        <v>14.0462198446012</v>
      </c>
      <c r="AC9" s="15" t="n">
        <f aca="false">K9/D9</f>
        <v>8.85487743916299</v>
      </c>
      <c r="AD9" s="14" t="n">
        <f aca="false">'BXP w JV'!AI9</f>
        <v>0.0179</v>
      </c>
      <c r="AE9" s="14" t="n">
        <f aca="false">'BXP w JV'!AG9</f>
        <v>0.875</v>
      </c>
      <c r="AF9" s="18" t="s">
        <v>456</v>
      </c>
      <c r="AG9" s="18" t="s">
        <v>456</v>
      </c>
    </row>
    <row r="10" customFormat="false" ht="15" hidden="false" customHeight="true" outlineLevel="0" collapsed="false">
      <c r="A10" s="6" t="s">
        <v>454</v>
      </c>
      <c r="B10" s="9" t="n">
        <f aca="false">'BXP w JV'!B10</f>
        <v>1965.106</v>
      </c>
      <c r="C10" s="9" t="n">
        <f aca="false">'BXP w JV'!C10</f>
        <v>619.579210858912</v>
      </c>
      <c r="D10" s="9" t="n">
        <f aca="false">B10-C10</f>
        <v>1345.52678914109</v>
      </c>
      <c r="E10" s="20" t="n">
        <f aca="false">'BXP w JV'!E10</f>
        <v>70.17</v>
      </c>
      <c r="F10" s="19" t="n">
        <f aca="false">'BXP w JV'!F10</f>
        <v>175.515</v>
      </c>
      <c r="G10" s="9" t="n">
        <f aca="false">E10*F10</f>
        <v>12315.88755</v>
      </c>
      <c r="H10" s="9" t="n">
        <f aca="false">'BXP w JV'!H10</f>
        <v>697.061</v>
      </c>
      <c r="I10" s="9" t="n">
        <f aca="false">'BXP w JV'!I10</f>
        <v>547.28</v>
      </c>
      <c r="J10" s="9" t="n">
        <f aca="false">H10+I10</f>
        <v>1244.341</v>
      </c>
      <c r="K10" s="9" t="n">
        <f aca="false">G10-J10</f>
        <v>11071.54655</v>
      </c>
      <c r="L10" s="9" t="n">
        <f aca="false">'BXP w JV'!L10+'BXP w JV'!O10</f>
        <v>11656.297</v>
      </c>
      <c r="M10" s="9" t="n">
        <f aca="false">'BXP w JV'!M10-'BXP w JV'!P10+'BXP w JV'!Q10</f>
        <v>4261.28</v>
      </c>
      <c r="N10" s="9" t="n">
        <f aca="false">'BXP w JV'!N10</f>
        <v>0</v>
      </c>
      <c r="O10" s="9" t="n">
        <f aca="false">L10+M10+N10</f>
        <v>15917.577</v>
      </c>
      <c r="P10" s="9" t="n">
        <f aca="false">G10+O10</f>
        <v>28233.46455</v>
      </c>
      <c r="Q10" s="9" t="n">
        <f aca="false">K10+O10</f>
        <v>26989.12355</v>
      </c>
      <c r="R10" s="9" t="n">
        <f aca="false">'BXP w JV'!U10</f>
        <v>1274.568</v>
      </c>
      <c r="S10" s="18" t="s">
        <v>456</v>
      </c>
      <c r="T10" s="18" t="s">
        <v>456</v>
      </c>
      <c r="U10" s="9" t="n">
        <f aca="false">'BXP w JV'!X10</f>
        <v>285.57568924</v>
      </c>
      <c r="V10" s="9" t="n">
        <f aca="false">R10-U10</f>
        <v>988.99231076</v>
      </c>
      <c r="W10" s="9" t="n">
        <f aca="false">'BXP w JV'!Z10</f>
        <v>1301.52</v>
      </c>
      <c r="X10" s="9" t="n">
        <f aca="false">'BXP w JV'!AA10</f>
        <v>687.809</v>
      </c>
      <c r="Y10" s="13" t="n">
        <f aca="false">INDEX('10 YR UST'!$B:$B,MATCH(2023,'10 YR UST'!$A:$A,0))</f>
        <v>0.0388</v>
      </c>
      <c r="Z10" s="14" t="n">
        <f aca="false">B10/Q10</f>
        <v>0.0728110342805111</v>
      </c>
      <c r="AA10" s="14" t="n">
        <f aca="false">D10/K10</f>
        <v>0.121530156881388</v>
      </c>
      <c r="AB10" s="15" t="n">
        <f aca="false">Q10/B10</f>
        <v>13.7341820492126</v>
      </c>
      <c r="AC10" s="15" t="n">
        <f aca="false">K10/D10</f>
        <v>8.22841034407608</v>
      </c>
      <c r="AD10" s="14" t="n">
        <f aca="false">'BXP w JV'!AI10</f>
        <v>0.0048</v>
      </c>
      <c r="AE10" s="14" t="n">
        <f aca="false">'BXP w JV'!AG10</f>
        <v>0.884</v>
      </c>
      <c r="AF10" s="18" t="s">
        <v>456</v>
      </c>
      <c r="AG10" s="18" t="s">
        <v>456</v>
      </c>
    </row>
    <row r="11" customFormat="false" ht="15" hidden="false" customHeight="true" outlineLevel="0" collapsed="false">
      <c r="A11" s="6" t="s">
        <v>455</v>
      </c>
      <c r="B11" s="9" t="n">
        <f aca="false">'BXP w JV'!B11</f>
        <v>1883.796</v>
      </c>
      <c r="C11" s="9" t="n">
        <f aca="false">'BXP w JV'!C11</f>
        <v>471.698799696472</v>
      </c>
      <c r="D11" s="9" t="n">
        <f aca="false">B11-C11</f>
        <v>1412.09720030353</v>
      </c>
      <c r="E11" s="20" t="n">
        <f aca="false">'BXP w JV'!E11</f>
        <v>67.58</v>
      </c>
      <c r="F11" s="19" t="n">
        <f aca="false">'BXP w JV'!F11</f>
        <v>174.968</v>
      </c>
      <c r="G11" s="9" t="n">
        <f aca="false">E11*F11</f>
        <v>11824.33744</v>
      </c>
      <c r="H11" s="9" t="n">
        <f aca="false">'BXP w JV'!H11</f>
        <v>721.501</v>
      </c>
      <c r="I11" s="9" t="n">
        <f aca="false">'BXP w JV'!I11</f>
        <v>406.574</v>
      </c>
      <c r="J11" s="9" t="n">
        <f aca="false">H11+I11</f>
        <v>1128.075</v>
      </c>
      <c r="K11" s="9" t="n">
        <f aca="false">G11-J11</f>
        <v>10696.26244</v>
      </c>
      <c r="L11" s="9" t="n">
        <f aca="false">'BXP w JV'!L11+'BXP w JV'!O11</f>
        <v>10940.336</v>
      </c>
      <c r="M11" s="9" t="n">
        <f aca="false">'BXP w JV'!M11-'BXP w JV'!P11+'BXP w JV'!Q11</f>
        <v>3541.972</v>
      </c>
      <c r="N11" s="9" t="n">
        <f aca="false">'BXP w JV'!N11</f>
        <v>0</v>
      </c>
      <c r="O11" s="9" t="n">
        <f aca="false">L11+M11+N11</f>
        <v>14482.308</v>
      </c>
      <c r="P11" s="9" t="n">
        <f aca="false">G11+O11</f>
        <v>26306.64544</v>
      </c>
      <c r="Q11" s="9" t="n">
        <f aca="false">K11+O11</f>
        <v>25178.57044</v>
      </c>
      <c r="R11" s="9" t="n">
        <f aca="false">'BXP w JV'!U11</f>
        <v>1316.668</v>
      </c>
      <c r="S11" s="18" t="s">
        <v>456</v>
      </c>
      <c r="T11" s="18" t="s">
        <v>456</v>
      </c>
      <c r="U11" s="9" t="n">
        <f aca="false">'BXP w JV'!X11</f>
        <v>477.7550802</v>
      </c>
      <c r="V11" s="9" t="n">
        <f aca="false">R11-U11</f>
        <v>838.9129198</v>
      </c>
      <c r="W11" s="9" t="n">
        <f aca="false">'BXP w JV'!Z11</f>
        <v>1282.399</v>
      </c>
      <c r="X11" s="9" t="n">
        <f aca="false">'BXP w JV'!AA11</f>
        <v>685.019</v>
      </c>
      <c r="Y11" s="13" t="n">
        <f aca="false">INDEX('10 YR UST'!$B:$B,MATCH(2022,'10 YR UST'!$A:$A,0))</f>
        <v>0.0388</v>
      </c>
      <c r="Z11" s="14" t="n">
        <f aca="false">B11/Q11</f>
        <v>0.0748174327247469</v>
      </c>
      <c r="AA11" s="14" t="n">
        <f aca="false">D11/K11</f>
        <v>0.132017815402772</v>
      </c>
      <c r="AB11" s="15" t="n">
        <f aca="false">Q11/B11</f>
        <v>13.3658689369762</v>
      </c>
      <c r="AC11" s="15" t="n">
        <f aca="false">K11/D11</f>
        <v>7.57473525030774</v>
      </c>
      <c r="AD11" s="14" t="n">
        <f aca="false">'BXP w JV'!AI11</f>
        <v>0.0529</v>
      </c>
      <c r="AE11" s="14" t="n">
        <f aca="false">'BXP w JV'!AG11</f>
        <v>0.886</v>
      </c>
      <c r="AF11" s="18" t="s">
        <v>456</v>
      </c>
      <c r="AG11" s="18" t="s">
        <v>456</v>
      </c>
    </row>
    <row r="12" customFormat="false" ht="15" hidden="false" customHeight="true" outlineLevel="0" collapsed="false">
      <c r="A12" s="6" t="s">
        <v>457</v>
      </c>
      <c r="B12" s="9" t="n">
        <f aca="false">'BXP w JV'!B12</f>
        <v>1735.74</v>
      </c>
      <c r="C12" s="9" t="n">
        <f aca="false">'BXP w JV'!C12</f>
        <v>428.102604562039</v>
      </c>
      <c r="D12" s="9" t="n">
        <f aca="false">B12-C12</f>
        <v>1307.63739543796</v>
      </c>
      <c r="E12" s="20" t="n">
        <f aca="false">'BXP w JV'!E12</f>
        <v>115.18</v>
      </c>
      <c r="F12" s="19" t="n">
        <f aca="false">'BXP w JV'!F12</f>
        <v>174.592</v>
      </c>
      <c r="G12" s="9" t="n">
        <f aca="false">E12*F12</f>
        <v>20109.50656</v>
      </c>
      <c r="H12" s="9" t="n">
        <f aca="false">'BXP w JV'!H12</f>
        <v>560.355</v>
      </c>
      <c r="I12" s="9" t="n">
        <f aca="false">'BXP w JV'!I12</f>
        <v>894.172</v>
      </c>
      <c r="J12" s="9" t="n">
        <f aca="false">H12+I12</f>
        <v>1454.527</v>
      </c>
      <c r="K12" s="9" t="n">
        <f aca="false">G12-J12</f>
        <v>18654.97956</v>
      </c>
      <c r="L12" s="9" t="n">
        <f aca="false">'BXP w JV'!L12+'BXP w JV'!O12</f>
        <v>9596.609</v>
      </c>
      <c r="M12" s="9" t="n">
        <f aca="false">'BXP w JV'!M12-'BXP w JV'!P12+'BXP w JV'!Q12</f>
        <v>3327.308</v>
      </c>
      <c r="N12" s="9" t="n">
        <f aca="false">'BXP w JV'!N12</f>
        <v>0</v>
      </c>
      <c r="O12" s="9" t="n">
        <f aca="false">L12+M12+N12</f>
        <v>12923.917</v>
      </c>
      <c r="P12" s="9" t="n">
        <f aca="false">G12+O12</f>
        <v>33033.42356</v>
      </c>
      <c r="Q12" s="9" t="n">
        <f aca="false">K12+O12</f>
        <v>31578.89656</v>
      </c>
      <c r="R12" s="9" t="n">
        <f aca="false">'BXP w JV'!U12</f>
        <v>1137.961</v>
      </c>
      <c r="S12" s="18" t="s">
        <v>456</v>
      </c>
      <c r="T12" s="18" t="s">
        <v>456</v>
      </c>
      <c r="U12" s="9" t="n">
        <f aca="false">'BXP w JV'!X12</f>
        <v>329.24262497</v>
      </c>
      <c r="V12" s="9" t="n">
        <f aca="false">R12-U12</f>
        <v>808.71837503</v>
      </c>
      <c r="W12" s="9" t="n">
        <f aca="false">'BXP w JV'!Z12</f>
        <v>1133.227</v>
      </c>
      <c r="X12" s="9" t="n">
        <f aca="false">'BXP w JV'!AA12</f>
        <v>683.753</v>
      </c>
      <c r="Y12" s="13" t="n">
        <f aca="false">INDEX('10 YR UST'!$B:$B,MATCH(2021,'10 YR UST'!$A:$A,0))</f>
        <v>0.0152</v>
      </c>
      <c r="Z12" s="14" t="n">
        <f aca="false">B12/Q12</f>
        <v>0.0549651884353238</v>
      </c>
      <c r="AA12" s="14" t="n">
        <f aca="false">D12/K12</f>
        <v>0.0700958900132915</v>
      </c>
      <c r="AB12" s="15" t="n">
        <f aca="false">Q12/B12</f>
        <v>18.193333425513</v>
      </c>
      <c r="AC12" s="15" t="n">
        <f aca="false">K12/D12</f>
        <v>14.2661716658478</v>
      </c>
      <c r="AD12" s="14" t="n">
        <f aca="false">'BXP w JV'!AI12</f>
        <v>-0.0031</v>
      </c>
      <c r="AE12" s="14" t="n">
        <f aca="false">'BXP w JV'!AG12</f>
        <v>0.888</v>
      </c>
      <c r="AF12" s="18" t="s">
        <v>456</v>
      </c>
      <c r="AG12" s="18" t="s">
        <v>456</v>
      </c>
    </row>
    <row r="13" customFormat="false" ht="15" hidden="false" customHeight="true" outlineLevel="0" collapsed="false">
      <c r="A13" s="6" t="s">
        <v>458</v>
      </c>
      <c r="B13" s="9" t="n">
        <f aca="false">'BXP w JV'!B13</f>
        <v>1626.131</v>
      </c>
      <c r="C13" s="9" t="n">
        <f aca="false">'BXP w JV'!C13</f>
        <v>436.416154601709</v>
      </c>
      <c r="D13" s="9" t="n">
        <f aca="false">B13-C13</f>
        <v>1189.71484539829</v>
      </c>
      <c r="E13" s="20" t="n">
        <f aca="false">'BXP w JV'!E13</f>
        <v>94.53</v>
      </c>
      <c r="F13" s="19" t="n">
        <f aca="false">'BXP w JV'!F13</f>
        <v>173.092</v>
      </c>
      <c r="G13" s="9" t="n">
        <f aca="false">E13*F13</f>
        <v>16362.38676</v>
      </c>
      <c r="H13" s="9" t="n">
        <f aca="false">'BXP w JV'!H13</f>
        <v>450.954</v>
      </c>
      <c r="I13" s="9" t="n">
        <f aca="false">'BXP w JV'!I13</f>
        <v>868.773</v>
      </c>
      <c r="J13" s="9" t="n">
        <f aca="false">H13+I13</f>
        <v>1319.727</v>
      </c>
      <c r="K13" s="9" t="n">
        <f aca="false">G13-J13</f>
        <v>15042.65976</v>
      </c>
      <c r="L13" s="9" t="n">
        <f aca="false">'BXP w JV'!L13+'BXP w JV'!O13</f>
        <v>10115.772</v>
      </c>
      <c r="M13" s="9" t="n">
        <f aca="false">'BXP w JV'!M13-'BXP w JV'!P13+'BXP w JV'!Q13</f>
        <v>2890.995</v>
      </c>
      <c r="N13" s="9" t="n">
        <f aca="false">'BXP w JV'!N13</f>
        <v>200</v>
      </c>
      <c r="O13" s="9" t="n">
        <f aca="false">L13+M13+N13</f>
        <v>13206.767</v>
      </c>
      <c r="P13" s="9" t="n">
        <f aca="false">G13+O13</f>
        <v>29569.15376</v>
      </c>
      <c r="Q13" s="9" t="n">
        <f aca="false">K13+O13</f>
        <v>28249.42676</v>
      </c>
      <c r="R13" s="9" t="n">
        <f aca="false">'BXP w JV'!U13</f>
        <v>1086.501</v>
      </c>
      <c r="S13" s="18" t="s">
        <v>456</v>
      </c>
      <c r="T13" s="18" t="s">
        <v>456</v>
      </c>
      <c r="U13" s="9" t="n">
        <f aca="false">'BXP w JV'!X13</f>
        <v>345.96351328</v>
      </c>
      <c r="V13" s="9" t="n">
        <f aca="false">R13-U13</f>
        <v>740.53748672</v>
      </c>
      <c r="W13" s="9" t="n">
        <f aca="false">'BXP w JV'!Z13</f>
        <v>1156.84</v>
      </c>
      <c r="X13" s="9" t="n">
        <f aca="false">'BXP w JV'!AA13</f>
        <v>688.904</v>
      </c>
      <c r="Y13" s="13" t="n">
        <f aca="false">INDEX('10 YR UST'!$B:$B,MATCH(2020,'10 YR UST'!$A:$A,0))</f>
        <v>0.0093</v>
      </c>
      <c r="Z13" s="14" t="n">
        <f aca="false">B13/Q13</f>
        <v>0.0575633273487352</v>
      </c>
      <c r="AA13" s="14" t="n">
        <f aca="false">D13/K13</f>
        <v>0.0790893940552898</v>
      </c>
      <c r="AB13" s="15" t="n">
        <f aca="false">Q13/B13</f>
        <v>17.3721715901117</v>
      </c>
      <c r="AC13" s="15" t="n">
        <f aca="false">K13/D13</f>
        <v>12.6439203630884</v>
      </c>
      <c r="AD13" s="14" t="n">
        <f aca="false">'BXP w JV'!AI13</f>
        <v>0.2334</v>
      </c>
      <c r="AE13" s="14" t="n">
        <f aca="false">'BXP w JV'!AG13</f>
        <v>0.901</v>
      </c>
      <c r="AF13" s="18" t="s">
        <v>456</v>
      </c>
      <c r="AG13" s="18" t="s">
        <v>456</v>
      </c>
    </row>
    <row r="14" customFormat="false" ht="15" hidden="false" customHeight="true" outlineLevel="0" collapsed="false">
      <c r="A14" s="6" t="s">
        <v>459</v>
      </c>
      <c r="B14" s="9" t="n">
        <f aca="false">'BXP w JV'!B14</f>
        <v>1739.85</v>
      </c>
      <c r="C14" s="9" t="n">
        <f aca="false">'BXP w JV'!C14</f>
        <v>412.203510730949</v>
      </c>
      <c r="D14" s="9" t="n">
        <f aca="false">B14-C14</f>
        <v>1327.64648926905</v>
      </c>
      <c r="E14" s="20" t="n">
        <f aca="false">'BXP w JV'!E14</f>
        <v>137.86</v>
      </c>
      <c r="F14" s="19" t="n">
        <f aca="false">'BXP w JV'!F14</f>
        <v>172.698</v>
      </c>
      <c r="G14" s="9" t="n">
        <f aca="false">E14*F14</f>
        <v>23808.14628</v>
      </c>
      <c r="H14" s="9" t="n">
        <f aca="false">'BXP w JV'!H14</f>
        <v>254.828</v>
      </c>
      <c r="I14" s="9" t="n">
        <f aca="false">'BXP w JV'!I14</f>
        <v>789.736</v>
      </c>
      <c r="J14" s="9" t="n">
        <f aca="false">H14+I14</f>
        <v>1044.564</v>
      </c>
      <c r="K14" s="9" t="n">
        <f aca="false">G14-J14</f>
        <v>22763.58228</v>
      </c>
      <c r="L14" s="9" t="n">
        <f aca="false">'BXP w JV'!L14+'BXP w JV'!O14</f>
        <v>8862.652</v>
      </c>
      <c r="M14" s="9" t="n">
        <f aca="false">'BXP w JV'!M14-'BXP w JV'!P14+'BXP w JV'!Q14</f>
        <v>2729.41</v>
      </c>
      <c r="N14" s="9" t="n">
        <f aca="false">'BXP w JV'!N14</f>
        <v>200</v>
      </c>
      <c r="O14" s="9" t="n">
        <f aca="false">L14+M14+N14</f>
        <v>11792.062</v>
      </c>
      <c r="P14" s="9" t="n">
        <f aca="false">G14+O14</f>
        <v>35600.20828</v>
      </c>
      <c r="Q14" s="9" t="n">
        <f aca="false">K14+O14</f>
        <v>34555.64428</v>
      </c>
      <c r="R14" s="9" t="n">
        <f aca="false">'BXP w JV'!U14</f>
        <v>1209.601</v>
      </c>
      <c r="S14" s="18" t="s">
        <v>456</v>
      </c>
      <c r="T14" s="18" t="s">
        <v>456</v>
      </c>
      <c r="U14" s="9" t="n">
        <f aca="false">'BXP w JV'!X14</f>
        <v>415.00467044</v>
      </c>
      <c r="V14" s="9" t="n">
        <f aca="false">R14-U14</f>
        <v>794.59632956</v>
      </c>
      <c r="W14" s="9" t="n">
        <f aca="false">'BXP w JV'!Z14</f>
        <v>1181.165</v>
      </c>
      <c r="X14" s="9" t="n">
        <f aca="false">'BXP w JV'!AA14</f>
        <v>666.294</v>
      </c>
      <c r="Y14" s="13" t="n">
        <f aca="false">INDEX('10 YR UST'!$B:$B,MATCH(2019,'10 YR UST'!$A:$A,0))</f>
        <v>0.0192</v>
      </c>
      <c r="Z14" s="14" t="n">
        <f aca="false">B14/Q14</f>
        <v>0.0503492276370892</v>
      </c>
      <c r="AA14" s="14" t="n">
        <f aca="false">D14/K14</f>
        <v>0.0583232670912045</v>
      </c>
      <c r="AB14" s="15" t="n">
        <f aca="false">Q14/B14</f>
        <v>19.8612778572866</v>
      </c>
      <c r="AC14" s="15" t="n">
        <f aca="false">K14/D14</f>
        <v>17.1458158960167</v>
      </c>
      <c r="AD14" s="14" t="n">
        <f aca="false">'BXP w JV'!AI14</f>
        <v>0.2619</v>
      </c>
      <c r="AE14" s="14" t="n">
        <f aca="false">'BXP w JV'!AG14</f>
        <v>0.93</v>
      </c>
      <c r="AF14" s="18" t="s">
        <v>456</v>
      </c>
      <c r="AG14" s="18" t="s">
        <v>456</v>
      </c>
    </row>
    <row r="15" customFormat="false" ht="15" hidden="false" customHeight="true" outlineLevel="0" collapsed="false">
      <c r="A15" s="6" t="s">
        <v>460</v>
      </c>
      <c r="B15" s="9" t="n">
        <f aca="false">'BXP w JV'!B15</f>
        <v>1551.842</v>
      </c>
      <c r="C15" s="9" t="n">
        <f aca="false">'BXP w JV'!C15</f>
        <v>377.700837554046</v>
      </c>
      <c r="D15" s="9" t="n">
        <f aca="false">B15-C15</f>
        <v>1174.14116244595</v>
      </c>
      <c r="E15" s="20" t="n">
        <f aca="false">'BXP w JV'!E15</f>
        <v>112.55</v>
      </c>
      <c r="F15" s="19" t="n">
        <f aca="false">'BXP w JV'!F15</f>
        <v>172.233</v>
      </c>
      <c r="G15" s="9" t="n">
        <f aca="false">E15*F15</f>
        <v>19384.82415</v>
      </c>
      <c r="H15" s="9" t="n">
        <f aca="false">'BXP w JV'!H15</f>
        <v>200.498</v>
      </c>
      <c r="I15" s="9" t="n">
        <f aca="false">'BXP w JV'!I15</f>
        <v>578.796</v>
      </c>
      <c r="J15" s="9" t="n">
        <f aca="false">H15+I15</f>
        <v>779.294</v>
      </c>
      <c r="K15" s="9" t="n">
        <f aca="false">G15-J15</f>
        <v>18605.53015</v>
      </c>
      <c r="L15" s="9" t="n">
        <f aca="false">'BXP w JV'!L15+'BXP w JV'!O15</f>
        <v>8012.429</v>
      </c>
      <c r="M15" s="9" t="n">
        <f aca="false">'BXP w JV'!M15-'BXP w JV'!P15+'BXP w JV'!Q15</f>
        <v>2681.128</v>
      </c>
      <c r="N15" s="9" t="n">
        <f aca="false">'BXP w JV'!N15</f>
        <v>200</v>
      </c>
      <c r="O15" s="9" t="n">
        <f aca="false">L15+M15+N15</f>
        <v>10893.557</v>
      </c>
      <c r="P15" s="9" t="n">
        <f aca="false">G15+O15</f>
        <v>30278.38115</v>
      </c>
      <c r="Q15" s="9" t="n">
        <f aca="false">K15+O15</f>
        <v>29499.08715</v>
      </c>
      <c r="R15" s="9" t="n">
        <f aca="false">'BXP w JV'!U15</f>
        <v>1084.827</v>
      </c>
      <c r="S15" s="18" t="s">
        <v>456</v>
      </c>
      <c r="T15" s="18" t="s">
        <v>456</v>
      </c>
      <c r="U15" s="9" t="n">
        <f aca="false">'BXP w JV'!X15</f>
        <v>290.63886851</v>
      </c>
      <c r="V15" s="9" t="n">
        <f aca="false">R15-U15</f>
        <v>794.18813149</v>
      </c>
      <c r="W15" s="9" t="n">
        <f aca="false">'BXP w JV'!Z15</f>
        <v>1150.245</v>
      </c>
      <c r="X15" s="9" t="n">
        <f aca="false">'BXP w JV'!AA15</f>
        <v>587.628</v>
      </c>
      <c r="Y15" s="13" t="n">
        <f aca="false">INDEX('10 YR UST'!$B:$B,MATCH(2018,'10 YR UST'!$A:$A,0))</f>
        <v>0.0269</v>
      </c>
      <c r="Z15" s="14" t="n">
        <f aca="false">B15/Q15</f>
        <v>0.0526064414166118</v>
      </c>
      <c r="AA15" s="14" t="n">
        <f aca="false">D15/K15</f>
        <v>0.0631071059507517</v>
      </c>
      <c r="AB15" s="15" t="n">
        <f aca="false">Q15/B15</f>
        <v>19.0090789848451</v>
      </c>
      <c r="AC15" s="15" t="n">
        <f aca="false">K15/D15</f>
        <v>15.8460760469731</v>
      </c>
      <c r="AD15" s="14" t="n">
        <f aca="false">'BXP w JV'!AI15</f>
        <v>0.0947</v>
      </c>
      <c r="AE15" s="14" t="n">
        <f aca="false">'BXP w JV'!AG15</f>
        <v>0.914</v>
      </c>
      <c r="AF15" s="18" t="s">
        <v>456</v>
      </c>
      <c r="AG15" s="18" t="s">
        <v>456</v>
      </c>
    </row>
    <row r="16" customFormat="false" ht="15" hidden="false" customHeight="true" outlineLevel="0" collapsed="false">
      <c r="A16" s="6" t="s">
        <v>461</v>
      </c>
      <c r="B16" s="9" t="n">
        <f aca="false">'BXP w JV'!B16</f>
        <v>1495.198</v>
      </c>
      <c r="C16" s="9" t="n">
        <f aca="false">'BXP w JV'!C16</f>
        <v>353.188646580656</v>
      </c>
      <c r="D16" s="9" t="n">
        <f aca="false">B16-C16</f>
        <v>1142.00935341934</v>
      </c>
      <c r="E16" s="20" t="n">
        <f aca="false">'BXP w JV'!E16</f>
        <v>130.03</v>
      </c>
      <c r="F16" s="19" t="n">
        <f aca="false">'BXP w JV'!F16</f>
        <v>171.954002922403</v>
      </c>
      <c r="G16" s="9" t="n">
        <f aca="false">E16*F16</f>
        <v>22359.179</v>
      </c>
      <c r="H16" s="9" t="n">
        <f aca="false">'BXP w JV'!H16</f>
        <v>204.925</v>
      </c>
      <c r="I16" s="9" t="n">
        <f aca="false">'BXP w JV'!I16</f>
        <v>1269.338</v>
      </c>
      <c r="J16" s="9" t="n">
        <f aca="false">H16+I16</f>
        <v>1474.263</v>
      </c>
      <c r="K16" s="9" t="n">
        <f aca="false">G16-J16</f>
        <v>20884.916</v>
      </c>
      <c r="L16" s="9" t="n">
        <f aca="false">'BXP w JV'!L16+'BXP w JV'!O16</f>
        <v>7292.33</v>
      </c>
      <c r="M16" s="9" t="n">
        <f aca="false">'BXP w JV'!M16-'BXP w JV'!P16+'BXP w JV'!Q16</f>
        <v>2378.875</v>
      </c>
      <c r="N16" s="9" t="n">
        <f aca="false">'BXP w JV'!N16</f>
        <v>200</v>
      </c>
      <c r="O16" s="9" t="n">
        <f aca="false">L16+M16+N16</f>
        <v>9871.205</v>
      </c>
      <c r="P16" s="9" t="n">
        <f aca="false">G16+O16</f>
        <v>32230.384</v>
      </c>
      <c r="Q16" s="9" t="n">
        <f aca="false">K16+O16</f>
        <v>30756.121</v>
      </c>
      <c r="R16" s="9" t="n">
        <f aca="false">'BXP w JV'!U16</f>
        <v>1068.119</v>
      </c>
      <c r="S16" s="18" t="s">
        <v>456</v>
      </c>
      <c r="T16" s="18" t="s">
        <v>456</v>
      </c>
      <c r="U16" s="9" t="n">
        <f aca="false">'BXP w JV'!X16</f>
        <v>281.5281972</v>
      </c>
      <c r="V16" s="9" t="n">
        <f aca="false">R16-U16</f>
        <v>786.5908028</v>
      </c>
      <c r="W16" s="9" t="n">
        <f aca="false">'BXP w JV'!Z16</f>
        <v>907.445</v>
      </c>
      <c r="X16" s="9" t="n">
        <f aca="false">'BXP w JV'!AA16</f>
        <v>526.578</v>
      </c>
      <c r="Y16" s="13" t="n">
        <f aca="false">INDEX('10 YR UST'!$B:$B,MATCH(2017,'10 YR UST'!$A:$A,0))</f>
        <v>0.024</v>
      </c>
      <c r="Z16" s="14" t="n">
        <f aca="false">B16/Q16</f>
        <v>0.0486146481215886</v>
      </c>
      <c r="AA16" s="14" t="n">
        <f aca="false">D16/K16</f>
        <v>0.0546810604083514</v>
      </c>
      <c r="AB16" s="15" t="n">
        <f aca="false">Q16/B16</f>
        <v>20.5699318752433</v>
      </c>
      <c r="AC16" s="15" t="n">
        <f aca="false">K16/D16</f>
        <v>18.2878677284626</v>
      </c>
      <c r="AD16" s="14" t="n">
        <f aca="false">'BXP w JV'!AI16</f>
        <v>0.1132</v>
      </c>
      <c r="AE16" s="14" t="n">
        <f aca="false">'BXP w JV'!AG16</f>
        <v>0.907</v>
      </c>
      <c r="AF16" s="18" t="s">
        <v>456</v>
      </c>
      <c r="AG16" s="18" t="s">
        <v>456</v>
      </c>
    </row>
    <row r="17" customFormat="false" ht="15" hidden="false" customHeight="true" outlineLevel="0" collapsed="false">
      <c r="A17" s="6" t="s">
        <v>462</v>
      </c>
      <c r="B17" s="9" t="n">
        <f aca="false">'BXP w JV'!B17</f>
        <v>1482.70071659118</v>
      </c>
      <c r="C17" s="9" t="n">
        <f aca="false">'BXP w JV'!C17</f>
        <v>354.124207107543</v>
      </c>
      <c r="D17" s="9" t="n">
        <f aca="false">B17-C17</f>
        <v>1128.57650948363</v>
      </c>
      <c r="E17" s="20" t="n">
        <f aca="false">'BXP w JV'!E17</f>
        <v>125.78</v>
      </c>
      <c r="F17" s="19" t="n">
        <f aca="false">'BXP w JV'!F17</f>
        <v>171.774002226109</v>
      </c>
      <c r="G17" s="9" t="n">
        <f aca="false">E17*F17</f>
        <v>21605.734</v>
      </c>
      <c r="H17" s="9" t="n">
        <f aca="false">'BXP w JV'!H17</f>
        <v>246.656</v>
      </c>
      <c r="I17" s="9" t="n">
        <f aca="false">'BXP w JV'!I17</f>
        <v>1037.959</v>
      </c>
      <c r="J17" s="9" t="n">
        <f aca="false">H17+I17</f>
        <v>1284.615</v>
      </c>
      <c r="K17" s="9" t="n">
        <f aca="false">G17-J17</f>
        <v>20321.119</v>
      </c>
      <c r="L17" s="9" t="n">
        <f aca="false">'BXP w JV'!L17+'BXP w JV'!O17</f>
        <v>7245.953</v>
      </c>
      <c r="M17" s="9" t="n">
        <f aca="false">'BXP w JV'!M17-'BXP w JV'!P17+'BXP w JV'!Q17</f>
        <v>1723.9</v>
      </c>
      <c r="N17" s="9" t="n">
        <f aca="false">'BXP w JV'!N17</f>
        <v>200</v>
      </c>
      <c r="O17" s="9" t="n">
        <f aca="false">L17+M17+N17</f>
        <v>9169.853</v>
      </c>
      <c r="P17" s="9" t="n">
        <f aca="false">G17+O17</f>
        <v>30775.587</v>
      </c>
      <c r="Q17" s="9" t="n">
        <f aca="false">K17+O17</f>
        <v>29490.972</v>
      </c>
      <c r="R17" s="9" t="n">
        <f aca="false">'BXP w JV'!U17</f>
        <v>1034.251</v>
      </c>
      <c r="S17" s="18" t="s">
        <v>456</v>
      </c>
      <c r="T17" s="18" t="s">
        <v>456</v>
      </c>
      <c r="U17" s="9" t="n">
        <f aca="false">'BXP w JV'!X17</f>
        <v>308.40028164</v>
      </c>
      <c r="V17" s="9" t="n">
        <f aca="false">R17-U17</f>
        <v>725.85071836</v>
      </c>
      <c r="W17" s="9" t="n">
        <f aca="false">'BXP w JV'!Z17</f>
        <v>1036.874</v>
      </c>
      <c r="X17" s="9" t="n">
        <f aca="false">'BXP w JV'!AA17</f>
        <v>671.626</v>
      </c>
      <c r="Y17" s="13" t="n">
        <f aca="false">INDEX('10 YR UST'!$B:$B,MATCH(2016,'10 YR UST'!$A:$A,0))</f>
        <v>0.0245</v>
      </c>
      <c r="Z17" s="14" t="n">
        <f aca="false">B17/Q17</f>
        <v>0.0502764275314892</v>
      </c>
      <c r="AA17" s="14" t="n">
        <f aca="false">D17/K17</f>
        <v>0.0555371241851216</v>
      </c>
      <c r="AB17" s="15" t="n">
        <f aca="false">Q17/B17</f>
        <v>19.8900369238383</v>
      </c>
      <c r="AC17" s="15" t="n">
        <f aca="false">K17/D17</f>
        <v>18.0059737458984</v>
      </c>
      <c r="AD17" s="14" t="n">
        <f aca="false">'BXP w JV'!AI17</f>
        <v>0.2455</v>
      </c>
      <c r="AE17" s="14" t="n">
        <f aca="false">'BXP w JV'!AG17</f>
        <v>0.902</v>
      </c>
      <c r="AF17" s="18" t="s">
        <v>456</v>
      </c>
      <c r="AG17" s="18" t="s">
        <v>456</v>
      </c>
    </row>
    <row r="20" customFormat="false" ht="15" hidden="false" customHeight="true" outlineLevel="0" collapsed="false">
      <c r="A20" s="6" t="s">
        <v>499</v>
      </c>
    </row>
    <row r="21" customFormat="false" ht="15" hidden="false" customHeight="true" outlineLevel="0" collapsed="false">
      <c r="A21" s="18" t="s">
        <v>500</v>
      </c>
    </row>
    <row r="22" customFormat="false" ht="15" hidden="false" customHeight="true" outlineLevel="0" collapsed="false">
      <c r="A22" s="18" t="s">
        <v>501</v>
      </c>
    </row>
    <row r="23" customFormat="false" ht="15" hidden="false" customHeight="true" outlineLevel="0" collapsed="false">
      <c r="A23" s="18" t="s">
        <v>502</v>
      </c>
    </row>
    <row r="24" customFormat="false" ht="15" hidden="false" customHeight="true" outlineLevel="0" collapsed="false">
      <c r="A24" s="18" t="s">
        <v>503</v>
      </c>
    </row>
    <row r="25" customFormat="false" ht="15" hidden="false" customHeight="true" outlineLevel="0" collapsed="false">
      <c r="A25" s="5" t="s">
        <v>504</v>
      </c>
    </row>
    <row r="26" customFormat="false" ht="15" hidden="false" customHeight="true" outlineLevel="0" collapsed="false">
      <c r="A26" s="5" t="s">
        <v>505</v>
      </c>
    </row>
    <row r="27" customFormat="false" ht="15" hidden="false" customHeight="true" outlineLevel="0" collapsed="false">
      <c r="A27" s="18" t="s">
        <v>506</v>
      </c>
    </row>
    <row r="28" customFormat="false" ht="15" hidden="false" customHeight="true" outlineLevel="0" collapsed="false">
      <c r="A28" s="5" t="s">
        <v>507</v>
      </c>
    </row>
    <row r="29" customFormat="false" ht="15" hidden="false" customHeight="true" outlineLevel="0" collapsed="false">
      <c r="A29" s="5" t="s">
        <v>508</v>
      </c>
    </row>
    <row r="30" customFormat="false" ht="15" hidden="false" customHeight="true" outlineLevel="0" collapsed="false">
      <c r="A30" s="5" t="s">
        <v>509</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F4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1" ySplit="3" topLeftCell="B4" activePane="bottomRight" state="frozen"/>
      <selection pane="topLeft" activeCell="A1" activeCellId="0" sqref="A1"/>
      <selection pane="topRight" activeCell="B1" activeCellId="0" sqref="B1"/>
      <selection pane="bottomLeft" activeCell="A4" activeCellId="0" sqref="A4"/>
      <selection pane="bottomRight" activeCell="A1" activeCellId="0" sqref="A1"/>
    </sheetView>
  </sheetViews>
  <sheetFormatPr defaultColWidth="8.6796875" defaultRowHeight="15" zeroHeight="false" outlineLevelRow="0" outlineLevelCol="0"/>
  <cols>
    <col collapsed="false" customWidth="true" hidden="false" outlineLevel="0" max="29" min="1" style="1" width="15"/>
    <col collapsed="false" customWidth="true" hidden="false" outlineLevel="0" max="32" min="31" style="0" width="15"/>
  </cols>
  <sheetData>
    <row r="1" customFormat="false" ht="15" hidden="false" customHeight="true" outlineLevel="0" collapsed="false">
      <c r="A1" s="4" t="s">
        <v>510</v>
      </c>
    </row>
    <row r="2" customFormat="false" ht="15" hidden="false" customHeight="true" outlineLevel="0" collapsed="false">
      <c r="A2" s="5" t="s">
        <v>511</v>
      </c>
    </row>
    <row r="3" customFormat="false" ht="75" hidden="false" customHeight="true" outlineLevel="0" collapsed="false">
      <c r="A3" s="8" t="s">
        <v>405</v>
      </c>
      <c r="B3" s="8" t="s">
        <v>512</v>
      </c>
      <c r="C3" s="8" t="s">
        <v>432</v>
      </c>
      <c r="D3" s="8" t="s">
        <v>513</v>
      </c>
      <c r="E3" s="8" t="s">
        <v>514</v>
      </c>
      <c r="F3" s="8" t="s">
        <v>515</v>
      </c>
      <c r="G3" s="8" t="s">
        <v>516</v>
      </c>
      <c r="H3" s="8" t="s">
        <v>517</v>
      </c>
      <c r="I3" s="8" t="s">
        <v>518</v>
      </c>
      <c r="J3" s="8" t="s">
        <v>435</v>
      </c>
      <c r="K3" s="8" t="s">
        <v>436</v>
      </c>
      <c r="L3" s="8" t="s">
        <v>481</v>
      </c>
      <c r="M3" s="8" t="s">
        <v>424</v>
      </c>
      <c r="N3" s="8" t="s">
        <v>408</v>
      </c>
      <c r="O3" s="8" t="s">
        <v>415</v>
      </c>
      <c r="P3" s="8" t="s">
        <v>519</v>
      </c>
      <c r="Q3" s="8" t="s">
        <v>520</v>
      </c>
      <c r="R3" s="8" t="s">
        <v>521</v>
      </c>
      <c r="S3" s="8" t="s">
        <v>522</v>
      </c>
      <c r="T3" s="8" t="s">
        <v>523</v>
      </c>
      <c r="U3" s="8" t="s">
        <v>524</v>
      </c>
      <c r="V3" s="8" t="s">
        <v>525</v>
      </c>
      <c r="W3" s="8" t="s">
        <v>526</v>
      </c>
      <c r="X3" s="8" t="s">
        <v>527</v>
      </c>
      <c r="Y3" s="8" t="s">
        <v>528</v>
      </c>
      <c r="Z3" s="8" t="s">
        <v>529</v>
      </c>
      <c r="AA3" s="8" t="s">
        <v>530</v>
      </c>
      <c r="AB3" s="8" t="s">
        <v>531</v>
      </c>
      <c r="AC3" s="8" t="s">
        <v>532</v>
      </c>
      <c r="AE3" s="21" t="s">
        <v>533</v>
      </c>
      <c r="AF3" s="21" t="s">
        <v>534</v>
      </c>
    </row>
    <row r="4" customFormat="false" ht="15" hidden="false" customHeight="true" outlineLevel="0" collapsed="false">
      <c r="A4" s="22" t="n">
        <v>2016</v>
      </c>
      <c r="B4" s="14" t="n">
        <f aca="false">'BXP Final'!Z17</f>
        <v>0.0502764275314892</v>
      </c>
      <c r="C4" s="14" t="n">
        <f aca="false">'BXP Final'!Y17</f>
        <v>0.0245</v>
      </c>
      <c r="D4" s="14" t="n">
        <f aca="false">B4-C4</f>
        <v>0.0257764275314892</v>
      </c>
      <c r="E4" s="14" t="n">
        <f aca="false">'BXP Final'!AA17</f>
        <v>0.0555371241851216</v>
      </c>
      <c r="F4" s="14" t="n">
        <f aca="false">E4-B4</f>
        <v>0.00526069665363241</v>
      </c>
      <c r="G4" s="14" t="n">
        <f aca="false">INDEX('CoStar - US Office'!$B:$B,MATCH(2016,'CoStar - US Office'!$A:$A,0))</f>
        <v>0.0970735517913501</v>
      </c>
      <c r="H4" s="14" t="n">
        <f aca="false">INDEX('CoStar - US Office'!$E:$E,MATCH(2016,'CoStar - US Office'!$A:$A,0))</f>
        <v>0.031547647151038</v>
      </c>
      <c r="I4" s="14" t="n">
        <f aca="false">INDEX('CoStar - US Office'!$H:$H,MATCH(2016,'CoStar - US Office'!$A:$A,0))</f>
        <v>0.0055196739996702</v>
      </c>
      <c r="J4" s="15" t="n">
        <f aca="false">'BXP Final'!AB17</f>
        <v>19.8900369238383</v>
      </c>
      <c r="K4" s="15" t="n">
        <f aca="false">'BXP Final'!AC17</f>
        <v>18.0059737458984</v>
      </c>
      <c r="L4" s="9" t="n">
        <f aca="false">'BXP Final'!B17</f>
        <v>1482.70071659118</v>
      </c>
      <c r="M4" s="9" t="n">
        <f aca="false">'BXP Final'!Q17</f>
        <v>29490.972</v>
      </c>
      <c r="N4" s="9" t="n">
        <f aca="false">'BXP Final'!D17</f>
        <v>1128.57650948363</v>
      </c>
      <c r="O4" s="9" t="n">
        <f aca="false">'BXP Final'!K17</f>
        <v>20321.119</v>
      </c>
      <c r="P4" s="14" t="n">
        <f aca="false">INDEX('Prime Rate'!$B:$B,MATCH(2016,'Prime Rate'!$A:$A,0))</f>
        <v>0.0351</v>
      </c>
      <c r="Q4" s="9" t="n">
        <f aca="false">M4-L4</f>
        <v>28008.2712834088</v>
      </c>
      <c r="R4" s="9" t="n">
        <f aca="false">O4-N4</f>
        <v>19192.5424905164</v>
      </c>
      <c r="S4" s="23" t="n">
        <f aca="false">INDEX(Inflation!$G:$G,MATCH(2016,Inflation!$A:$A,0))</f>
        <v>0.0126707791495431</v>
      </c>
      <c r="T4" s="14" t="n">
        <f aca="false">INDEX('Green Street National'!$D:$D,MATCH(2016,'Green Street National'!$A:$A,0))</f>
        <v>0.05658714</v>
      </c>
      <c r="U4" s="9" t="n">
        <f aca="false">INDEX('Green Street National'!$F:$F,MATCH(2016,'Green Street National'!$A:$A,0))</f>
        <v>100</v>
      </c>
      <c r="V4" s="9" t="n">
        <f aca="false">INDEX(Inflation!$D:$D,MATCH(2016,Inflation!$A:$A,0))</f>
        <v>100</v>
      </c>
      <c r="W4" s="9" t="n">
        <f aca="false">INDEX(Inflation!$E:$E,MATCH(2016,Inflation!$A:$A,0))</f>
        <v>100</v>
      </c>
      <c r="X4" s="9" t="n">
        <f aca="false">INDEX('CoStar - US Office'!$G:$G,MATCH(2016,'CoStar - US Office'!$A:$A,0))</f>
        <v>100</v>
      </c>
      <c r="Y4" s="23" t="n">
        <f aca="false">INDEX('Green Street National'!$C:$C,MATCH(2016,'Green Street National'!$A:$A,0))</f>
        <v>0.01895593</v>
      </c>
      <c r="Z4" s="23" t="str">
        <f aca="false">INDEX('CoStar - US Office'!$D:$D,MATCH(2016,'CoStar - US Office'!$A:$A,0))</f>
        <v>n/a</v>
      </c>
      <c r="AA4" s="9" t="n">
        <f aca="false">INDEX('CoStar - US Office'!$F:$F,MATCH(2016,'CoStar - US Office'!$A:$A,0))</f>
        <v>31.6313190637154</v>
      </c>
      <c r="AB4" s="23" t="n">
        <f aca="false">INDEX('CoStar - US Office'!$C:$C,MATCH(2016,'CoStar - US Office'!$A:$A,0))</f>
        <v>0.90292644820865</v>
      </c>
      <c r="AC4" s="9" t="n">
        <f aca="false">100</f>
        <v>100</v>
      </c>
      <c r="AE4" s="24" t="str">
        <f aca="false">""</f>
        <v/>
      </c>
      <c r="AF4" s="24" t="str">
        <f aca="false">""</f>
        <v/>
      </c>
    </row>
    <row r="5" customFormat="false" ht="15" hidden="false" customHeight="true" outlineLevel="0" collapsed="false">
      <c r="A5" s="22" t="n">
        <v>2017</v>
      </c>
      <c r="B5" s="14" t="n">
        <f aca="false">'BXP Final'!Z16</f>
        <v>0.0486146481215886</v>
      </c>
      <c r="C5" s="14" t="n">
        <f aca="false">'BXP Final'!Y16</f>
        <v>0.024</v>
      </c>
      <c r="D5" s="14" t="n">
        <f aca="false">B5-C5</f>
        <v>0.0246146481215885</v>
      </c>
      <c r="E5" s="14" t="n">
        <f aca="false">'BXP Final'!AA16</f>
        <v>0.0546810604083514</v>
      </c>
      <c r="F5" s="14" t="n">
        <f aca="false">E5-B5</f>
        <v>0.00606641228676281</v>
      </c>
      <c r="G5" s="14" t="n">
        <f aca="false">INDEX('CoStar - US Office'!$B:$B,MATCH(2017,'CoStar - US Office'!$A:$A,0))</f>
        <v>0.0954879748749349</v>
      </c>
      <c r="H5" s="14" t="n">
        <f aca="false">INDEX('CoStar - US Office'!$E:$E,MATCH(2017,'CoStar - US Office'!$A:$A,0))</f>
        <v>0.0238303537312997</v>
      </c>
      <c r="I5" s="14" t="n">
        <f aca="false">INDEX('CoStar - US Office'!$H:$H,MATCH(2017,'CoStar - US Office'!$A:$A,0))</f>
        <v>0.0069526825011159</v>
      </c>
      <c r="J5" s="15" t="n">
        <f aca="false">'BXP Final'!AB16</f>
        <v>20.5699318752433</v>
      </c>
      <c r="K5" s="15" t="n">
        <f aca="false">'BXP Final'!AC16</f>
        <v>18.2878677284626</v>
      </c>
      <c r="L5" s="9" t="n">
        <f aca="false">'BXP Final'!B16</f>
        <v>1495.198</v>
      </c>
      <c r="M5" s="9" t="n">
        <f aca="false">'BXP Final'!Q16</f>
        <v>30756.121</v>
      </c>
      <c r="N5" s="9" t="n">
        <f aca="false">'BXP Final'!D16</f>
        <v>1142.00935341934</v>
      </c>
      <c r="O5" s="9" t="n">
        <f aca="false">'BXP Final'!K16</f>
        <v>20884.916</v>
      </c>
      <c r="P5" s="14" t="n">
        <f aca="false">INDEX('Prime Rate'!$B:$B,MATCH(2017,'Prime Rate'!$A:$A,0))</f>
        <v>0.041</v>
      </c>
      <c r="Q5" s="9" t="n">
        <f aca="false">M5-L5</f>
        <v>29260.923</v>
      </c>
      <c r="R5" s="9" t="n">
        <f aca="false">O5-N5</f>
        <v>19742.9066465807</v>
      </c>
      <c r="S5" s="23" t="n">
        <f aca="false">INDEX(Inflation!$G:$G,MATCH(2017,Inflation!$A:$A,0))</f>
        <v>0.0213162225786963</v>
      </c>
      <c r="T5" s="14" t="n">
        <f aca="false">INDEX('Green Street National'!$D:$D,MATCH(2017,'Green Street National'!$A:$A,0))</f>
        <v>0.05803697</v>
      </c>
      <c r="U5" s="9" t="n">
        <f aca="false">INDEX('Green Street National'!$F:$F,MATCH(2017,'Green Street National'!$A:$A,0))</f>
        <v>102.414193258894</v>
      </c>
      <c r="V5" s="9" t="n">
        <f aca="false">INDEX(Inflation!$D:$D,MATCH(2017,Inflation!$A:$A,0))</f>
        <v>102.196167016261</v>
      </c>
      <c r="W5" s="9" t="n">
        <f aca="false">INDEX(Inflation!$E:$E,MATCH(2017,Inflation!$A:$A,0))</f>
        <v>102.13162225787</v>
      </c>
      <c r="X5" s="9" t="n">
        <f aca="false">INDEX('CoStar - US Office'!$G:$G,MATCH(2017,'CoStar - US Office'!$A:$A,0))</f>
        <v>102.38303537313</v>
      </c>
      <c r="Y5" s="23" t="n">
        <f aca="false">INDEX('Green Street National'!$C:$C,MATCH(2017,'Green Street National'!$A:$A,0))</f>
        <v>0.00975579</v>
      </c>
      <c r="Z5" s="23" t="n">
        <f aca="false">INDEX('CoStar - US Office'!$D:$D,MATCH(2017,'CoStar - US Office'!$A:$A,0))</f>
        <v>0.00158557691641525</v>
      </c>
      <c r="AA5" s="9" t="n">
        <f aca="false">INDEX('CoStar - US Office'!$F:$F,MATCH(2017,'CoStar - US Office'!$A:$A,0))</f>
        <v>32.3851045859914</v>
      </c>
      <c r="AB5" s="23" t="n">
        <f aca="false">INDEX('CoStar - US Office'!$C:$C,MATCH(2017,'CoStar - US Office'!$A:$A,0))</f>
        <v>0.904512025125065</v>
      </c>
      <c r="AC5" s="9" t="n">
        <f aca="false">AC4*(1+INDEX('Green Street National'!$C:$C,MATCH(2017,'Green Street National'!$A:$A,0)))</f>
        <v>100.975579</v>
      </c>
      <c r="AE5" s="24" t="str">
        <f aca="false">IF(N(L4)=0,"",TEXT(L5/L4-1,"+0%;-0%"))</f>
        <v>+1%</v>
      </c>
      <c r="AF5" s="24" t="str">
        <f aca="false">IF(N(N4)=0,"",TEXT(N5/N4-1,"+0%;-0%"))</f>
        <v>+1%</v>
      </c>
    </row>
    <row r="6" customFormat="false" ht="15" hidden="false" customHeight="true" outlineLevel="0" collapsed="false">
      <c r="A6" s="22" t="n">
        <v>2018</v>
      </c>
      <c r="B6" s="14" t="n">
        <f aca="false">'BXP Final'!Z15</f>
        <v>0.0526064414166118</v>
      </c>
      <c r="C6" s="14" t="n">
        <f aca="false">'BXP Final'!Y15</f>
        <v>0.0269</v>
      </c>
      <c r="D6" s="14" t="n">
        <f aca="false">B6-C6</f>
        <v>0.0257064414166118</v>
      </c>
      <c r="E6" s="14" t="n">
        <f aca="false">'BXP Final'!AA15</f>
        <v>0.0631071059507517</v>
      </c>
      <c r="F6" s="14" t="n">
        <f aca="false">E6-B6</f>
        <v>0.0105006645341399</v>
      </c>
      <c r="G6" s="14" t="n">
        <f aca="false">INDEX('CoStar - US Office'!$B:$B,MATCH(2018,'CoStar - US Office'!$A:$A,0))</f>
        <v>0.0932114558152037</v>
      </c>
      <c r="H6" s="14" t="n">
        <f aca="false">INDEX('CoStar - US Office'!$E:$E,MATCH(2018,'CoStar - US Office'!$A:$A,0))</f>
        <v>0.0302878208785191</v>
      </c>
      <c r="I6" s="14" t="n">
        <f aca="false">INDEX('CoStar - US Office'!$H:$H,MATCH(2018,'CoStar - US Office'!$A:$A,0))</f>
        <v>0.00664155934340847</v>
      </c>
      <c r="J6" s="15" t="n">
        <f aca="false">'BXP Final'!AB15</f>
        <v>19.0090789848451</v>
      </c>
      <c r="K6" s="15" t="n">
        <f aca="false">'BXP Final'!AC15</f>
        <v>15.8460760469731</v>
      </c>
      <c r="L6" s="9" t="n">
        <f aca="false">'BXP Final'!B15</f>
        <v>1551.842</v>
      </c>
      <c r="M6" s="9" t="n">
        <f aca="false">'BXP Final'!Q15</f>
        <v>29499.08715</v>
      </c>
      <c r="N6" s="9" t="n">
        <f aca="false">'BXP Final'!D15</f>
        <v>1174.14116244595</v>
      </c>
      <c r="O6" s="9" t="n">
        <f aca="false">'BXP Final'!K15</f>
        <v>18605.53015</v>
      </c>
      <c r="P6" s="14" t="n">
        <f aca="false">INDEX('Prime Rate'!$B:$B,MATCH(2018,'Prime Rate'!$A:$A,0))</f>
        <v>0.049</v>
      </c>
      <c r="Q6" s="9" t="n">
        <f aca="false">M6-L6</f>
        <v>27947.24515</v>
      </c>
      <c r="R6" s="9" t="n">
        <f aca="false">O6-N6</f>
        <v>17431.388987554</v>
      </c>
      <c r="S6" s="23" t="n">
        <f aca="false">INDEX(Inflation!$G:$G,MATCH(2018,Inflation!$A:$A,0))</f>
        <v>0.0243920349541655</v>
      </c>
      <c r="T6" s="14" t="n">
        <f aca="false">INDEX('Green Street National'!$D:$D,MATCH(2018,'Green Street National'!$A:$A,0))</f>
        <v>0.0583128</v>
      </c>
      <c r="U6" s="9" t="n">
        <f aca="false">INDEX('Green Street National'!$F:$F,MATCH(2018,'Green Street National'!$A:$A,0))</f>
        <v>102.121786086096</v>
      </c>
      <c r="V6" s="9" t="n">
        <f aca="false">INDEX(Inflation!$D:$D,MATCH(2018,Inflation!$A:$A,0))</f>
        <v>106.491690421126</v>
      </c>
      <c r="W6" s="9" t="n">
        <f aca="false">INDEX(Inflation!$E:$E,MATCH(2018,Inflation!$A:$A,0))</f>
        <v>104.622820357909</v>
      </c>
      <c r="X6" s="9" t="n">
        <f aca="false">INDEX('CoStar - US Office'!$G:$G,MATCH(2018,'CoStar - US Office'!$A:$A,0))</f>
        <v>105.483994409511</v>
      </c>
      <c r="Y6" s="23" t="n">
        <f aca="false">INDEX('Green Street National'!$C:$C,MATCH(2018,'Green Street National'!$A:$A,0))</f>
        <v>0.02229099</v>
      </c>
      <c r="Z6" s="23" t="n">
        <f aca="false">INDEX('CoStar - US Office'!$D:$D,MATCH(2018,'CoStar - US Office'!$A:$A,0))</f>
        <v>0.00227651905973114</v>
      </c>
      <c r="AA6" s="9" t="n">
        <f aca="false">INDEX('CoStar - US Office'!$F:$F,MATCH(2018,'CoStar - US Office'!$A:$A,0))</f>
        <v>33.365978832824</v>
      </c>
      <c r="AB6" s="23" t="n">
        <f aca="false">INDEX('CoStar - US Office'!$C:$C,MATCH(2018,'CoStar - US Office'!$A:$A,0))</f>
        <v>0.906788544184796</v>
      </c>
      <c r="AC6" s="9" t="n">
        <f aca="false">AC5*(1+INDEX('Green Street National'!$C:$C,MATCH(2018,'Green Street National'!$A:$A,0)))</f>
        <v>103.226424621733</v>
      </c>
      <c r="AE6" s="24" t="str">
        <f aca="false">IF(N(L5)=0,"",TEXT(L6/L5-1,"+0%;-0%"))</f>
        <v>+4%</v>
      </c>
      <c r="AF6" s="24" t="str">
        <f aca="false">IF(N(N5)=0,"",TEXT(N6/N5-1,"+0%;-0%"))</f>
        <v>+3%</v>
      </c>
    </row>
    <row r="7" customFormat="false" ht="15" hidden="false" customHeight="true" outlineLevel="0" collapsed="false">
      <c r="A7" s="22" t="n">
        <v>2019</v>
      </c>
      <c r="B7" s="14" t="n">
        <f aca="false">'BXP Final'!Z14</f>
        <v>0.0503492276370892</v>
      </c>
      <c r="C7" s="14" t="n">
        <f aca="false">'BXP Final'!Y14</f>
        <v>0.0192</v>
      </c>
      <c r="D7" s="14" t="n">
        <f aca="false">B7-C7</f>
        <v>0.0311492276370892</v>
      </c>
      <c r="E7" s="14" t="n">
        <f aca="false">'BXP Final'!AA14</f>
        <v>0.0583232670912045</v>
      </c>
      <c r="F7" s="14" t="n">
        <f aca="false">E7-B7</f>
        <v>0.00797403945411534</v>
      </c>
      <c r="G7" s="14" t="n">
        <f aca="false">INDEX('CoStar - US Office'!$B:$B,MATCH(2019,'CoStar - US Office'!$A:$A,0))</f>
        <v>0.0935992552144097</v>
      </c>
      <c r="H7" s="14" t="n">
        <f aca="false">INDEX('CoStar - US Office'!$E:$E,MATCH(2019,'CoStar - US Office'!$A:$A,0))</f>
        <v>0.0354820605592993</v>
      </c>
      <c r="I7" s="14" t="n">
        <f aca="false">INDEX('CoStar - US Office'!$H:$H,MATCH(2019,'CoStar - US Office'!$A:$A,0))</f>
        <v>0.0067202786358476</v>
      </c>
      <c r="J7" s="15" t="n">
        <f aca="false">'BXP Final'!AB14</f>
        <v>19.8612778572866</v>
      </c>
      <c r="K7" s="15" t="n">
        <f aca="false">'BXP Final'!AC14</f>
        <v>17.1458158960167</v>
      </c>
      <c r="L7" s="9" t="n">
        <f aca="false">'BXP Final'!B14</f>
        <v>1739.85</v>
      </c>
      <c r="M7" s="9" t="n">
        <f aca="false">'BXP Final'!Q14</f>
        <v>34555.64428</v>
      </c>
      <c r="N7" s="9" t="n">
        <f aca="false">'BXP Final'!D14</f>
        <v>1327.64648926905</v>
      </c>
      <c r="O7" s="9" t="n">
        <f aca="false">'BXP Final'!K14</f>
        <v>22763.58228</v>
      </c>
      <c r="P7" s="14" t="n">
        <f aca="false">INDEX('Prime Rate'!$B:$B,MATCH(2019,'Prime Rate'!$A:$A,0))</f>
        <v>0.0528</v>
      </c>
      <c r="Q7" s="9" t="n">
        <f aca="false">M7-L7</f>
        <v>32815.79428</v>
      </c>
      <c r="R7" s="9" t="n">
        <f aca="false">O7-N7</f>
        <v>21435.935790731</v>
      </c>
      <c r="S7" s="23" t="n">
        <f aca="false">INDEX(Inflation!$G:$G,MATCH(2019,Inflation!$A:$A,0))</f>
        <v>0.0181322182397452</v>
      </c>
      <c r="T7" s="14" t="n">
        <f aca="false">INDEX('Green Street National'!$D:$D,MATCH(2019,'Green Street National'!$A:$A,0))</f>
        <v>0.05915908</v>
      </c>
      <c r="U7" s="9" t="n">
        <f aca="false">INDEX('Green Street National'!$F:$F,MATCH(2019,'Green Street National'!$A:$A,0))</f>
        <v>104.704183104862</v>
      </c>
      <c r="V7" s="9" t="n">
        <f aca="false">INDEX(Inflation!$D:$D,MATCH(2019,Inflation!$A:$A,0))</f>
        <v>111.952526936661</v>
      </c>
      <c r="W7" s="9" t="n">
        <f aca="false">INDEX(Inflation!$E:$E,MATCH(2019,Inflation!$A:$A,0))</f>
        <v>106.519864169497</v>
      </c>
      <c r="X7" s="9" t="n">
        <f aca="false">INDEX('CoStar - US Office'!$G:$G,MATCH(2019,'CoStar - US Office'!$A:$A,0))</f>
        <v>109.226783887186</v>
      </c>
      <c r="Y7" s="23" t="n">
        <f aca="false">INDEX('Green Street National'!$C:$C,MATCH(2019,'Green Street National'!$A:$A,0))</f>
        <v>0.03556294</v>
      </c>
      <c r="Z7" s="23" t="n">
        <f aca="false">INDEX('CoStar - US Office'!$D:$D,MATCH(2019,'CoStar - US Office'!$A:$A,0))</f>
        <v>-0.000387799399205968</v>
      </c>
      <c r="AA7" s="9" t="n">
        <f aca="false">INDEX('CoStar - US Office'!$F:$F,MATCH(2019,'CoStar - US Office'!$A:$A,0))</f>
        <v>34.5498725143906</v>
      </c>
      <c r="AB7" s="23" t="n">
        <f aca="false">INDEX('CoStar - US Office'!$C:$C,MATCH(2019,'CoStar - US Office'!$A:$A,0))</f>
        <v>0.90640074478559</v>
      </c>
      <c r="AC7" s="9" t="n">
        <f aca="false">AC6*(1+INDEX('Green Street National'!$C:$C,MATCH(2019,'Green Street National'!$A:$A,0)))</f>
        <v>106.89745976697</v>
      </c>
      <c r="AE7" s="24" t="str">
        <f aca="false">IF(N(L6)=0,"",TEXT(L7/L6-1,"+0%;-0%"))</f>
        <v>+12%</v>
      </c>
      <c r="AF7" s="24" t="str">
        <f aca="false">IF(N(N6)=0,"",TEXT(N7/N6-1,"+0%;-0%"))</f>
        <v>+13%</v>
      </c>
    </row>
    <row r="8" customFormat="false" ht="15" hidden="false" customHeight="true" outlineLevel="0" collapsed="false">
      <c r="A8" s="22" t="n">
        <v>2020</v>
      </c>
      <c r="B8" s="14" t="n">
        <f aca="false">'BXP Final'!Z13</f>
        <v>0.0575633273487352</v>
      </c>
      <c r="C8" s="14" t="n">
        <f aca="false">'BXP Final'!Y13</f>
        <v>0.0093</v>
      </c>
      <c r="D8" s="14" t="n">
        <f aca="false">B8-C8</f>
        <v>0.0482633273487352</v>
      </c>
      <c r="E8" s="14" t="n">
        <f aca="false">'BXP Final'!AA13</f>
        <v>0.0790893940552898</v>
      </c>
      <c r="F8" s="14" t="n">
        <f aca="false">E8-B8</f>
        <v>0.0215260667065546</v>
      </c>
      <c r="G8" s="14" t="n">
        <f aca="false">INDEX('CoStar - US Office'!$B:$B,MATCH(2020,'CoStar - US Office'!$A:$A,0))</f>
        <v>0.107657163277639</v>
      </c>
      <c r="H8" s="14" t="n">
        <f aca="false">INDEX('CoStar - US Office'!$E:$E,MATCH(2020,'CoStar - US Office'!$A:$A,0))</f>
        <v>-0.0155535025524075</v>
      </c>
      <c r="I8" s="14" t="n">
        <f aca="false">INDEX('CoStar - US Office'!$H:$H,MATCH(2020,'CoStar - US Office'!$A:$A,0))</f>
        <v>0.00631100374992295</v>
      </c>
      <c r="J8" s="15" t="n">
        <f aca="false">'BXP Final'!AB13</f>
        <v>17.3721715901117</v>
      </c>
      <c r="K8" s="15" t="n">
        <f aca="false">'BXP Final'!AC13</f>
        <v>12.6439203630884</v>
      </c>
      <c r="L8" s="9" t="n">
        <f aca="false">'BXP Final'!B13</f>
        <v>1626.131</v>
      </c>
      <c r="M8" s="9" t="n">
        <f aca="false">'BXP Final'!Q13</f>
        <v>28249.42676</v>
      </c>
      <c r="N8" s="9" t="n">
        <f aca="false">'BXP Final'!D13</f>
        <v>1189.71484539829</v>
      </c>
      <c r="O8" s="9" t="n">
        <f aca="false">'BXP Final'!K13</f>
        <v>15042.65976</v>
      </c>
      <c r="P8" s="14" t="n">
        <f aca="false">INDEX('Prime Rate'!$B:$B,MATCH(2020,'Prime Rate'!$A:$A,0))</f>
        <v>0.0354</v>
      </c>
      <c r="Q8" s="9" t="n">
        <f aca="false">M8-L8</f>
        <v>26623.29576</v>
      </c>
      <c r="R8" s="9" t="n">
        <f aca="false">O8-N8</f>
        <v>13852.9449146017</v>
      </c>
      <c r="S8" s="23" t="n">
        <f aca="false">INDEX(Inflation!$G:$G,MATCH(2020,Inflation!$A:$A,0))</f>
        <v>0.0125287010127009</v>
      </c>
      <c r="T8" s="14" t="n">
        <f aca="false">INDEX('Green Street National'!$D:$D,MATCH(2020,'Green Street National'!$A:$A,0))</f>
        <v>0.06399001</v>
      </c>
      <c r="U8" s="9" t="n">
        <f aca="false">INDEX('Green Street National'!$F:$F,MATCH(2020,'Green Street National'!$A:$A,0))</f>
        <v>97.1388418279712</v>
      </c>
      <c r="V8" s="9" t="n">
        <f aca="false">INDEX(Inflation!$D:$D,MATCH(2020,Inflation!$A:$A,0))</f>
        <v>114.716111798347</v>
      </c>
      <c r="W8" s="9" t="n">
        <f aca="false">INDEX(Inflation!$E:$E,MATCH(2020,Inflation!$A:$A,0))</f>
        <v>107.85441969959</v>
      </c>
      <c r="X8" s="9" t="n">
        <f aca="false">INDEX('CoStar - US Office'!$G:$G,MATCH(2020,'CoStar - US Office'!$A:$A,0))</f>
        <v>107.527924825205</v>
      </c>
      <c r="Y8" s="23" t="n">
        <f aca="false">INDEX('Green Street National'!$C:$C,MATCH(2020,'Green Street National'!$A:$A,0))</f>
        <v>-0.07888407</v>
      </c>
      <c r="Z8" s="23" t="n">
        <f aca="false">INDEX('CoStar - US Office'!$D:$D,MATCH(2020,'CoStar - US Office'!$A:$A,0))</f>
        <v>-0.0140579080632293</v>
      </c>
      <c r="AA8" s="9" t="n">
        <f aca="false">INDEX('CoStar - US Office'!$F:$F,MATCH(2020,'CoStar - US Office'!$A:$A,0))</f>
        <v>34.0125009840526</v>
      </c>
      <c r="AB8" s="23" t="n">
        <f aca="false">INDEX('CoStar - US Office'!$C:$C,MATCH(2020,'CoStar - US Office'!$A:$A,0))</f>
        <v>0.892342836722361</v>
      </c>
      <c r="AC8" s="9" t="n">
        <f aca="false">AC7*(1+INDEX('Green Street National'!$C:$C,MATCH(2020,'Green Street National'!$A:$A,0)))</f>
        <v>98.4649530678906</v>
      </c>
      <c r="AE8" s="24" t="str">
        <f aca="false">IF(N(L7)=0,"",TEXT(L8/L7-1,"+0%;-0%"))</f>
        <v>-7%</v>
      </c>
      <c r="AF8" s="24" t="str">
        <f aca="false">IF(N(N7)=0,"",TEXT(N8/N7-1,"+0%;-0%"))</f>
        <v>-10%</v>
      </c>
    </row>
    <row r="9" customFormat="false" ht="15" hidden="false" customHeight="true" outlineLevel="0" collapsed="false">
      <c r="A9" s="22" t="n">
        <v>2021</v>
      </c>
      <c r="B9" s="14" t="n">
        <f aca="false">'BXP Final'!Z12</f>
        <v>0.0549651884353238</v>
      </c>
      <c r="C9" s="14" t="n">
        <f aca="false">'BXP Final'!Y12</f>
        <v>0.0152</v>
      </c>
      <c r="D9" s="14" t="n">
        <f aca="false">B9-C9</f>
        <v>0.0397651884353238</v>
      </c>
      <c r="E9" s="14" t="n">
        <f aca="false">'BXP Final'!AA12</f>
        <v>0.0700958900132915</v>
      </c>
      <c r="F9" s="14" t="n">
        <f aca="false">E9-B9</f>
        <v>0.0151307015779677</v>
      </c>
      <c r="G9" s="14" t="n">
        <f aca="false">INDEX('CoStar - US Office'!$B:$B,MATCH(2021,'CoStar - US Office'!$A:$A,0))</f>
        <v>0.118179744708771</v>
      </c>
      <c r="H9" s="14" t="n">
        <f aca="false">INDEX('CoStar - US Office'!$E:$E,MATCH(2021,'CoStar - US Office'!$A:$A,0))</f>
        <v>0.00888497006002991</v>
      </c>
      <c r="I9" s="14" t="n">
        <f aca="false">INDEX('CoStar - US Office'!$H:$H,MATCH(2021,'CoStar - US Office'!$A:$A,0))</f>
        <v>0.00599925350302214</v>
      </c>
      <c r="J9" s="15" t="n">
        <f aca="false">'BXP Final'!AB12</f>
        <v>18.193333425513</v>
      </c>
      <c r="K9" s="15" t="n">
        <f aca="false">'BXP Final'!AC12</f>
        <v>14.2661716658478</v>
      </c>
      <c r="L9" s="9" t="n">
        <f aca="false">'BXP Final'!B12</f>
        <v>1735.74</v>
      </c>
      <c r="M9" s="9" t="n">
        <f aca="false">'BXP Final'!Q12</f>
        <v>31578.89656</v>
      </c>
      <c r="N9" s="9" t="n">
        <f aca="false">'BXP Final'!D12</f>
        <v>1307.63739543796</v>
      </c>
      <c r="O9" s="9" t="n">
        <f aca="false">'BXP Final'!K12</f>
        <v>18654.97956</v>
      </c>
      <c r="P9" s="14" t="n">
        <f aca="false">INDEX('Prime Rate'!$B:$B,MATCH(2021,'Prime Rate'!$A:$A,0))</f>
        <v>0.0325</v>
      </c>
      <c r="Q9" s="9" t="n">
        <f aca="false">M9-L9</f>
        <v>29843.15656</v>
      </c>
      <c r="R9" s="9" t="n">
        <f aca="false">O9-N9</f>
        <v>17347.342164562</v>
      </c>
      <c r="S9" s="23" t="n">
        <f aca="false">INDEX(Inflation!$G:$G,MATCH(2021,Inflation!$A:$A,0))</f>
        <v>0.0468098093148315</v>
      </c>
      <c r="T9" s="14" t="n">
        <f aca="false">INDEX('Green Street National'!$D:$D,MATCH(2021,'Green Street National'!$A:$A,0))</f>
        <v>0.06497242</v>
      </c>
      <c r="U9" s="9" t="n">
        <f aca="false">INDEX('Green Street National'!$F:$F,MATCH(2021,'Green Street National'!$A:$A,0))</f>
        <v>96.7262233029072</v>
      </c>
      <c r="V9" s="9" t="n">
        <f aca="false">INDEX(Inflation!$D:$D,MATCH(2021,Inflation!$A:$A,0))</f>
        <v>120.671758188566</v>
      </c>
      <c r="W9" s="9" t="n">
        <f aca="false">INDEX(Inflation!$E:$E,MATCH(2021,Inflation!$A:$A,0))</f>
        <v>112.903064519489</v>
      </c>
      <c r="X9" s="9" t="n">
        <f aca="false">INDEX('CoStar - US Office'!$G:$G,MATCH(2021,'CoStar - US Office'!$A:$A,0))</f>
        <v>108.483307217894</v>
      </c>
      <c r="Y9" s="23" t="n">
        <f aca="false">INDEX('Green Street National'!$C:$C,MATCH(2021,'Green Street National'!$A:$A,0))</f>
        <v>-0.05368289</v>
      </c>
      <c r="Z9" s="23" t="n">
        <f aca="false">INDEX('CoStar - US Office'!$D:$D,MATCH(2021,'CoStar - US Office'!$A:$A,0))</f>
        <v>-0.0105225814311321</v>
      </c>
      <c r="AA9" s="9" t="n">
        <f aca="false">INDEX('CoStar - US Office'!$F:$F,MATCH(2021,'CoStar - US Office'!$A:$A,0))</f>
        <v>34.3147010369627</v>
      </c>
      <c r="AB9" s="23" t="n">
        <f aca="false">INDEX('CoStar - US Office'!$C:$C,MATCH(2021,'CoStar - US Office'!$A:$A,0))</f>
        <v>0.881820255291229</v>
      </c>
      <c r="AC9" s="9" t="n">
        <f aca="false">AC8*(1+INDEX('Green Street National'!$C:$C,MATCH(2021,'Green Street National'!$A:$A,0)))</f>
        <v>93.1790698234918</v>
      </c>
      <c r="AE9" s="24" t="str">
        <f aca="false">IF(N(L8)=0,"",TEXT(L9/L8-1,"+0%;-0%"))</f>
        <v>+7%</v>
      </c>
      <c r="AF9" s="24" t="str">
        <f aca="false">IF(N(N8)=0,"",TEXT(N9/N8-1,"+0%;-0%"))</f>
        <v>+10%</v>
      </c>
    </row>
    <row r="10" customFormat="false" ht="15" hidden="false" customHeight="true" outlineLevel="0" collapsed="false">
      <c r="A10" s="22" t="n">
        <v>2022</v>
      </c>
      <c r="B10" s="14" t="n">
        <f aca="false">'BXP Final'!Z11</f>
        <v>0.0748174327247469</v>
      </c>
      <c r="C10" s="14" t="n">
        <f aca="false">'BXP Final'!Y11</f>
        <v>0.0388</v>
      </c>
      <c r="D10" s="14" t="n">
        <f aca="false">B10-C10</f>
        <v>0.0360174327247469</v>
      </c>
      <c r="E10" s="14" t="n">
        <f aca="false">'BXP Final'!AA11</f>
        <v>0.132017815402772</v>
      </c>
      <c r="F10" s="14" t="n">
        <f aca="false">E10-B10</f>
        <v>0.0572003826780256</v>
      </c>
      <c r="G10" s="14" t="n">
        <f aca="false">INDEX('CoStar - US Office'!$B:$B,MATCH(2022,'CoStar - US Office'!$A:$A,0))</f>
        <v>0.123824681505529</v>
      </c>
      <c r="H10" s="14" t="n">
        <f aca="false">INDEX('CoStar - US Office'!$E:$E,MATCH(2022,'CoStar - US Office'!$A:$A,0))</f>
        <v>0.0187735469192038</v>
      </c>
      <c r="I10" s="14" t="n">
        <f aca="false">INDEX('CoStar - US Office'!$H:$H,MATCH(2022,'CoStar - US Office'!$A:$A,0))</f>
        <v>0.00478830885082243</v>
      </c>
      <c r="J10" s="15" t="n">
        <f aca="false">'BXP Final'!AB11</f>
        <v>13.3658689369762</v>
      </c>
      <c r="K10" s="15" t="n">
        <f aca="false">'BXP Final'!AC11</f>
        <v>7.57473525030774</v>
      </c>
      <c r="L10" s="9" t="n">
        <f aca="false">'BXP Final'!B11</f>
        <v>1883.796</v>
      </c>
      <c r="M10" s="9" t="n">
        <f aca="false">'BXP Final'!Q11</f>
        <v>25178.57044</v>
      </c>
      <c r="N10" s="9" t="n">
        <f aca="false">'BXP Final'!D11</f>
        <v>1412.09720030353</v>
      </c>
      <c r="O10" s="9" t="n">
        <f aca="false">'BXP Final'!K11</f>
        <v>10696.26244</v>
      </c>
      <c r="P10" s="14" t="n">
        <f aca="false">INDEX('Prime Rate'!$B:$B,MATCH(2022,'Prime Rate'!$A:$A,0))</f>
        <v>0.0485</v>
      </c>
      <c r="Q10" s="9" t="n">
        <f aca="false">M10-L10</f>
        <v>23294.77444</v>
      </c>
      <c r="R10" s="9" t="n">
        <f aca="false">O10-N10</f>
        <v>9284.16523969647</v>
      </c>
      <c r="S10" s="23" t="n">
        <f aca="false">INDEX(Inflation!$G:$G,MATCH(2022,Inflation!$A:$A,0))</f>
        <v>0.0799083303502561</v>
      </c>
      <c r="T10" s="14" t="n">
        <f aca="false">INDEX('Green Street National'!$D:$D,MATCH(2022,'Green Street National'!$A:$A,0))</f>
        <v>0.07948753</v>
      </c>
      <c r="U10" s="9" t="n">
        <f aca="false">INDEX('Green Street National'!$F:$F,MATCH(2022,'Green Street National'!$A:$A,0))</f>
        <v>75.3039532955945</v>
      </c>
      <c r="V10" s="9" t="n">
        <f aca="false">INDEX(Inflation!$D:$D,MATCH(2022,Inflation!$A:$A,0))</f>
        <v>144.713064056365</v>
      </c>
      <c r="W10" s="9" t="n">
        <f aca="false">INDEX(Inflation!$E:$E,MATCH(2022,Inflation!$A:$A,0))</f>
        <v>121.924959896669</v>
      </c>
      <c r="X10" s="9" t="n">
        <f aca="false">INDEX('CoStar - US Office'!$G:$G,MATCH(2022,'CoStar - US Office'!$A:$A,0))</f>
        <v>110.5199236759</v>
      </c>
      <c r="Y10" s="23" t="n">
        <f aca="false">INDEX('Green Street National'!$C:$C,MATCH(2022,'Green Street National'!$A:$A,0))</f>
        <v>-0.03718453</v>
      </c>
      <c r="Z10" s="23" t="n">
        <f aca="false">INDEX('CoStar - US Office'!$D:$D,MATCH(2022,'CoStar - US Office'!$A:$A,0))</f>
        <v>-0.00564493679675804</v>
      </c>
      <c r="AA10" s="9" t="n">
        <f aca="false">INDEX('CoStar - US Office'!$F:$F,MATCH(2022,'CoStar - US Office'!$A:$A,0))</f>
        <v>34.9589096868985</v>
      </c>
      <c r="AB10" s="23" t="n">
        <f aca="false">INDEX('CoStar - US Office'!$C:$C,MATCH(2022,'CoStar - US Office'!$A:$A,0))</f>
        <v>0.876175318494471</v>
      </c>
      <c r="AC10" s="9" t="n">
        <f aca="false">AC9*(1+INDEX('Green Street National'!$C:$C,MATCH(2022,'Green Street National'!$A:$A,0)))</f>
        <v>89.7142499062681</v>
      </c>
      <c r="AE10" s="24" t="str">
        <f aca="false">IF(N(L9)=0,"",TEXT(L10/L9-1,"+0%;-0%"))</f>
        <v>+9%</v>
      </c>
      <c r="AF10" s="24" t="str">
        <f aca="false">IF(N(N9)=0,"",TEXT(N10/N9-1,"+0%;-0%"))</f>
        <v>+8%</v>
      </c>
    </row>
    <row r="11" customFormat="false" ht="15" hidden="false" customHeight="true" outlineLevel="0" collapsed="false">
      <c r="A11" s="22" t="n">
        <v>2023</v>
      </c>
      <c r="B11" s="14" t="n">
        <f aca="false">'BXP Final'!Z10</f>
        <v>0.0728110342805111</v>
      </c>
      <c r="C11" s="14" t="n">
        <f aca="false">'BXP Final'!Y10</f>
        <v>0.0388</v>
      </c>
      <c r="D11" s="14" t="n">
        <f aca="false">B11-C11</f>
        <v>0.0340110342805111</v>
      </c>
      <c r="E11" s="14" t="n">
        <f aca="false">'BXP Final'!AA10</f>
        <v>0.121530156881388</v>
      </c>
      <c r="F11" s="14" t="n">
        <f aca="false">E11-B11</f>
        <v>0.0487191226008768</v>
      </c>
      <c r="G11" s="14" t="n">
        <f aca="false">INDEX('CoStar - US Office'!$B:$B,MATCH(2023,'CoStar - US Office'!$A:$A,0))</f>
        <v>0.134795325216733</v>
      </c>
      <c r="H11" s="14" t="n">
        <f aca="false">INDEX('CoStar - US Office'!$E:$E,MATCH(2023,'CoStar - US Office'!$A:$A,0))</f>
        <v>0.0103504011943532</v>
      </c>
      <c r="I11" s="14" t="n">
        <f aca="false">INDEX('CoStar - US Office'!$H:$H,MATCH(2023,'CoStar - US Office'!$A:$A,0))</f>
        <v>0.00346617437648096</v>
      </c>
      <c r="J11" s="15" t="n">
        <f aca="false">'BXP Final'!AB10</f>
        <v>13.7341820492126</v>
      </c>
      <c r="K11" s="15" t="n">
        <f aca="false">'BXP Final'!AC10</f>
        <v>8.22841034407608</v>
      </c>
      <c r="L11" s="9" t="n">
        <f aca="false">'BXP Final'!B10</f>
        <v>1965.106</v>
      </c>
      <c r="M11" s="9" t="n">
        <f aca="false">'BXP Final'!Q10</f>
        <v>26989.12355</v>
      </c>
      <c r="N11" s="9" t="n">
        <f aca="false">'BXP Final'!D10</f>
        <v>1345.52678914109</v>
      </c>
      <c r="O11" s="9" t="n">
        <f aca="false">'BXP Final'!K10</f>
        <v>11071.54655</v>
      </c>
      <c r="P11" s="14" t="n">
        <f aca="false">INDEX('Prime Rate'!$B:$B,MATCH(2023,'Prime Rate'!$A:$A,0))</f>
        <v>0.0819</v>
      </c>
      <c r="Q11" s="9" t="n">
        <f aca="false">M11-L11</f>
        <v>25024.01755</v>
      </c>
      <c r="R11" s="9" t="n">
        <f aca="false">O11-N11</f>
        <v>9726.01976085891</v>
      </c>
      <c r="S11" s="23" t="n">
        <f aca="false">INDEX(Inflation!$G:$G,MATCH(2023,Inflation!$A:$A,0))</f>
        <v>0.0412711105643382</v>
      </c>
      <c r="T11" s="14" t="n">
        <f aca="false">INDEX('Green Street National'!$D:$D,MATCH(2023,'Green Street National'!$A:$A,0))</f>
        <v>0.10690485</v>
      </c>
      <c r="U11" s="9" t="n">
        <f aca="false">INDEX('Green Street National'!$F:$F,MATCH(2023,'Green Street National'!$A:$A,0))</f>
        <v>44.7050530590909</v>
      </c>
      <c r="V11" s="9" t="n">
        <f aca="false">INDEX(Inflation!$D:$D,MATCH(2023,Inflation!$A:$A,0))</f>
        <v>156.117893831012</v>
      </c>
      <c r="W11" s="9" t="n">
        <f aca="false">INDEX(Inflation!$E:$E,MATCH(2023,Inflation!$A:$A,0))</f>
        <v>126.956938397117</v>
      </c>
      <c r="X11" s="9" t="n">
        <f aca="false">INDEX('CoStar - US Office'!$G:$G,MATCH(2023,'CoStar - US Office'!$A:$A,0))</f>
        <v>111.663849225915</v>
      </c>
      <c r="Y11" s="23" t="n">
        <f aca="false">INDEX('Green Street National'!$C:$C,MATCH(2023,'Green Street National'!$A:$A,0))</f>
        <v>-0.05284114</v>
      </c>
      <c r="Z11" s="23" t="n">
        <f aca="false">INDEX('CoStar - US Office'!$D:$D,MATCH(2023,'CoStar - US Office'!$A:$A,0))</f>
        <v>-0.0109706437112039</v>
      </c>
      <c r="AA11" s="9" t="n">
        <f aca="false">INDEX('CoStar - US Office'!$F:$F,MATCH(2023,'CoStar - US Office'!$A:$A,0))</f>
        <v>35.3207484274751</v>
      </c>
      <c r="AB11" s="23" t="n">
        <f aca="false">INDEX('CoStar - US Office'!$C:$C,MATCH(2023,'CoStar - US Office'!$A:$A,0))</f>
        <v>0.865204674783267</v>
      </c>
      <c r="AC11" s="9" t="n">
        <f aca="false">AC10*(1+INDEX('Green Street National'!$C:$C,MATCH(2023,'Green Street National'!$A:$A,0)))</f>
        <v>84.973646666976</v>
      </c>
      <c r="AE11" s="24" t="str">
        <f aca="false">IF(N(L10)=0,"",TEXT(L11/L10-1,"+0%;-0%"))</f>
        <v>+4%</v>
      </c>
      <c r="AF11" s="24" t="str">
        <f aca="false">IF(N(N10)=0,"",TEXT(N11/N10-1,"+0%;-0%"))</f>
        <v>-5%</v>
      </c>
    </row>
    <row r="12" customFormat="false" ht="15" hidden="false" customHeight="true" outlineLevel="0" collapsed="false">
      <c r="A12" s="22" t="n">
        <v>2024</v>
      </c>
      <c r="B12" s="14" t="n">
        <f aca="false">'BXP Final'!Z9</f>
        <v>0.0711935318586347</v>
      </c>
      <c r="C12" s="14" t="n">
        <f aca="false">'BXP Final'!Y9</f>
        <v>0.0458</v>
      </c>
      <c r="D12" s="14" t="n">
        <f aca="false">B12-C12</f>
        <v>0.0253935318586347</v>
      </c>
      <c r="E12" s="14" t="n">
        <f aca="false">'BXP Final'!AA9</f>
        <v>0.112932110790968</v>
      </c>
      <c r="F12" s="14" t="n">
        <f aca="false">E12-B12</f>
        <v>0.0417385789323335</v>
      </c>
      <c r="G12" s="14" t="n">
        <f aca="false">INDEX('CoStar - US Office'!$B:$B,MATCH(2024,'CoStar - US Office'!$A:$A,0))</f>
        <v>0.139554020907488</v>
      </c>
      <c r="H12" s="14" t="n">
        <f aca="false">INDEX('CoStar - US Office'!$E:$E,MATCH(2024,'CoStar - US Office'!$A:$A,0))</f>
        <v>0.019598676299831</v>
      </c>
      <c r="I12" s="14" t="n">
        <f aca="false">INDEX('CoStar - US Office'!$H:$H,MATCH(2024,'CoStar - US Office'!$A:$A,0))</f>
        <v>0.00153700761683326</v>
      </c>
      <c r="J12" s="15" t="n">
        <f aca="false">'BXP Final'!AB9</f>
        <v>14.0462198446012</v>
      </c>
      <c r="K12" s="15" t="n">
        <f aca="false">'BXP Final'!AC9</f>
        <v>8.85487743916299</v>
      </c>
      <c r="L12" s="9" t="n">
        <f aca="false">'BXP Final'!B9</f>
        <v>1984.056</v>
      </c>
      <c r="M12" s="9" t="n">
        <f aca="false">'BXP Final'!Q9</f>
        <v>27868.48676</v>
      </c>
      <c r="N12" s="9" t="n">
        <f aca="false">'BXP Final'!D9</f>
        <v>1313.01543582957</v>
      </c>
      <c r="O12" s="9" t="n">
        <f aca="false">'BXP Final'!K9</f>
        <v>11626.59076</v>
      </c>
      <c r="P12" s="14" t="n">
        <f aca="false">INDEX('Prime Rate'!$B:$B,MATCH(2024,'Prime Rate'!$A:$A,0))</f>
        <v>0.0831</v>
      </c>
      <c r="Q12" s="9" t="n">
        <f aca="false">M12-L12</f>
        <v>25884.43076</v>
      </c>
      <c r="R12" s="9" t="n">
        <f aca="false">O12-N12</f>
        <v>10313.5753241704</v>
      </c>
      <c r="S12" s="23" t="n">
        <f aca="false">INDEX(Inflation!$G:$G,MATCH(2024,Inflation!$A:$A,0))</f>
        <v>0.0295205495187116</v>
      </c>
      <c r="T12" s="14" t="n">
        <f aca="false">INDEX('Green Street National'!$D:$D,MATCH(2024,'Green Street National'!$A:$A,0))</f>
        <v>0.10737802</v>
      </c>
      <c r="U12" s="9" t="n">
        <f aca="false">INDEX('Green Street National'!$F:$F,MATCH(2024,'Green Street National'!$A:$A,0))</f>
        <v>43.6731644078836</v>
      </c>
      <c r="V12" s="9" t="n">
        <f aca="false">INDEX(Inflation!$D:$D,MATCH(2024,Inflation!$A:$A,0))</f>
        <v>156.281037666505</v>
      </c>
      <c r="W12" s="9" t="n">
        <f aca="false">INDEX(Inflation!$E:$E,MATCH(2024,Inflation!$A:$A,0))</f>
        <v>130.704776983813</v>
      </c>
      <c r="X12" s="9" t="n">
        <f aca="false">INDEX('CoStar - US Office'!$G:$G,MATCH(2024,'CoStar - US Office'!$A:$A,0))</f>
        <v>113.852312861286</v>
      </c>
      <c r="Y12" s="23" t="n">
        <f aca="false">INDEX('Green Street National'!$C:$C,MATCH(2024,'Green Street National'!$A:$A,0))</f>
        <v>-0.01855455</v>
      </c>
      <c r="Z12" s="23" t="n">
        <f aca="false">INDEX('CoStar - US Office'!$D:$D,MATCH(2024,'CoStar - US Office'!$A:$A,0))</f>
        <v>-0.00475869569075504</v>
      </c>
      <c r="AA12" s="9" t="n">
        <f aca="false">INDEX('CoStar - US Office'!$F:$F,MATCH(2024,'CoStar - US Office'!$A:$A,0))</f>
        <v>36.0129883425729</v>
      </c>
      <c r="AB12" s="23" t="n">
        <f aca="false">INDEX('CoStar - US Office'!$C:$C,MATCH(2024,'CoStar - US Office'!$A:$A,0))</f>
        <v>0.860445979092512</v>
      </c>
      <c r="AC12" s="9" t="n">
        <f aca="false">AC11*(1+INDEX('Green Street National'!$C:$C,MATCH(2024,'Green Street National'!$A:$A,0)))</f>
        <v>83.3969988912113</v>
      </c>
      <c r="AE12" s="24" t="str">
        <f aca="false">IF(N(L11)=0,"",TEXT(L12/L11-1,"+0%;-0%"))</f>
        <v>+1%</v>
      </c>
      <c r="AF12" s="24" t="str">
        <f aca="false">IF(N(N11)=0,"",TEXT(N12/N11-1,"+0%;-0%"))</f>
        <v>-2%</v>
      </c>
    </row>
    <row r="13" customFormat="false" ht="15" hidden="false" customHeight="true" outlineLevel="0" collapsed="false">
      <c r="A13" s="22" t="n">
        <v>2025</v>
      </c>
      <c r="B13" s="14" t="n">
        <f aca="false">'BXP Final'!Z8</f>
        <v>0.0748682826340019</v>
      </c>
      <c r="C13" s="14" t="n">
        <f aca="false">'BXP Final'!Y8</f>
        <v>0.0418</v>
      </c>
      <c r="D13" s="14" t="n">
        <f aca="false">B13-C13</f>
        <v>0.0330682826340019</v>
      </c>
      <c r="E13" s="14" t="n">
        <f aca="false">'BXP Final'!AA8</f>
        <v>0.131404109669265</v>
      </c>
      <c r="F13" s="14" t="n">
        <f aca="false">E13-B13</f>
        <v>0.0565358270352631</v>
      </c>
      <c r="G13" s="14" t="n">
        <f aca="false">INDEX('CoStar - US Office'!$B:$B,MATCH(2025,'CoStar - US Office'!$A:$A,0))</f>
        <v>0.140381422408093</v>
      </c>
      <c r="H13" s="14" t="n">
        <f aca="false">INDEX('CoStar - US Office'!$E:$E,MATCH(2025,'CoStar - US Office'!$A:$A,0))</f>
        <v>0.0206668157739647</v>
      </c>
      <c r="I13" s="14" t="n">
        <f aca="false">INDEX('CoStar - US Office'!$H:$H,MATCH(2025,'CoStar - US Office'!$A:$A,0))</f>
        <v>-0.00016404557269249</v>
      </c>
      <c r="J13" s="15" t="n">
        <f aca="false">'BXP Final'!AB8</f>
        <v>13.3567909509633</v>
      </c>
      <c r="K13" s="15" t="n">
        <f aca="false">'BXP Final'!AC8</f>
        <v>7.61011206207272</v>
      </c>
      <c r="L13" s="9" t="n">
        <f aca="false">'BXP Final'!B8</f>
        <v>1976.785</v>
      </c>
      <c r="M13" s="9" t="n">
        <f aca="false">'BXP Final'!Q8</f>
        <v>26403.504</v>
      </c>
      <c r="N13" s="9" t="n">
        <f aca="false">'BXP Final'!D8</f>
        <v>1305.72518761223</v>
      </c>
      <c r="O13" s="9" t="n">
        <f aca="false">'BXP Final'!K8</f>
        <v>9936.715</v>
      </c>
      <c r="P13" s="14" t="n">
        <f aca="false">INDEX('Prime Rate'!$B:$B,MATCH(2025,'Prime Rate'!$A:$A,0))</f>
        <v>0.0737</v>
      </c>
      <c r="Q13" s="9" t="n">
        <f aca="false">M13-L13</f>
        <v>24426.719</v>
      </c>
      <c r="R13" s="9" t="n">
        <f aca="false">O13-N13</f>
        <v>8630.98981238777</v>
      </c>
      <c r="S13" s="23" t="n">
        <f aca="false">INDEX(Inflation!$G:$G,MATCH(2025,Inflation!$A:$A,0))</f>
        <v>0.0263438083762091</v>
      </c>
      <c r="T13" s="14" t="n">
        <f aca="false">INDEX('Green Street National'!$D:$D,MATCH(2025,'Green Street National'!$A:$A,0))</f>
        <v>0.1048993</v>
      </c>
      <c r="U13" s="9" t="n">
        <f aca="false">INDEX('Green Street National'!$F:$F,MATCH(2025,'Green Street National'!$A:$A,0))</f>
        <v>44.169712307612</v>
      </c>
      <c r="V13" s="9" t="n">
        <f aca="false">INDEX(Inflation!$D:$D,MATCH(2025,Inflation!$A:$A,0))</f>
        <v>158.821420247764</v>
      </c>
      <c r="W13" s="9" t="n">
        <f aca="false">INDEX(Inflation!$E:$E,MATCH(2025,Inflation!$A:$A,0))</f>
        <v>134.14803858253</v>
      </c>
      <c r="X13" s="9" t="n">
        <f aca="false">INDEX('CoStar - US Office'!$G:$G,MATCH(2025,'CoStar - US Office'!$A:$A,0))</f>
        <v>116.20527763663</v>
      </c>
      <c r="Y13" s="23" t="n">
        <f aca="false">INDEX('Green Street National'!$C:$C,MATCH(2025,'Green Street National'!$A:$A,0))</f>
        <v>0.00073864</v>
      </c>
      <c r="Z13" s="23" t="n">
        <f aca="false">INDEX('CoStar - US Office'!$D:$D,MATCH(2025,'CoStar - US Office'!$A:$A,0))</f>
        <v>-0.000827401500605007</v>
      </c>
      <c r="AA13" s="9" t="n">
        <f aca="false">INDEX('CoStar - US Office'!$F:$F,MATCH(2025,'CoStar - US Office'!$A:$A,0))</f>
        <v>36.7572621381188</v>
      </c>
      <c r="AB13" s="23" t="n">
        <f aca="false">INDEX('CoStar - US Office'!$C:$C,MATCH(2025,'CoStar - US Office'!$A:$A,0))</f>
        <v>0.859618577591907</v>
      </c>
      <c r="AC13" s="9" t="n">
        <f aca="false">AC12*(1+INDEX('Green Street National'!$C:$C,MATCH(2025,'Green Street National'!$A:$A,0)))</f>
        <v>83.4585992504723</v>
      </c>
      <c r="AE13" s="24" t="str">
        <f aca="false">IF(N(L12)=0,"",TEXT(L13/L12-1,"+0%;-0%"))</f>
        <v>-0%</v>
      </c>
      <c r="AF13" s="24" t="str">
        <f aca="false">IF(N(N12)=0,"",TEXT(N13/N12-1,"+0%;-0%"))</f>
        <v>-1%</v>
      </c>
    </row>
    <row r="15" customFormat="false" ht="15" hidden="false" customHeight="true" outlineLevel="0" collapsed="false">
      <c r="A15" s="6" t="s">
        <v>535</v>
      </c>
    </row>
    <row r="16" customFormat="false" ht="15" hidden="false" customHeight="true" outlineLevel="0" collapsed="false">
      <c r="A16" s="18" t="s">
        <v>536</v>
      </c>
    </row>
    <row r="17" customFormat="false" ht="15" hidden="false" customHeight="true" outlineLevel="0" collapsed="false">
      <c r="A17" s="18" t="s">
        <v>537</v>
      </c>
    </row>
    <row r="18" customFormat="false" ht="15" hidden="false" customHeight="true" outlineLevel="0" collapsed="false">
      <c r="A18" s="18" t="s">
        <v>538</v>
      </c>
    </row>
    <row r="19" customFormat="false" ht="15" hidden="false" customHeight="true" outlineLevel="0" collapsed="false">
      <c r="A19" s="18" t="s">
        <v>539</v>
      </c>
    </row>
    <row r="20" customFormat="false" ht="15" hidden="false" customHeight="true" outlineLevel="0" collapsed="false">
      <c r="A20" s="18" t="s">
        <v>540</v>
      </c>
    </row>
    <row r="21" customFormat="false" ht="15" hidden="false" customHeight="true" outlineLevel="0" collapsed="false">
      <c r="A21" s="18" t="s">
        <v>541</v>
      </c>
    </row>
    <row r="22" customFormat="false" ht="15" hidden="false" customHeight="true" outlineLevel="0" collapsed="false">
      <c r="A22" s="18" t="s">
        <v>542</v>
      </c>
    </row>
    <row r="23" customFormat="false" ht="15" hidden="false" customHeight="true" outlineLevel="0" collapsed="false">
      <c r="A23" s="18" t="s">
        <v>543</v>
      </c>
    </row>
    <row r="24" customFormat="false" ht="15" hidden="false" customHeight="true" outlineLevel="0" collapsed="false">
      <c r="A24" s="18" t="s">
        <v>544</v>
      </c>
    </row>
    <row r="25" customFormat="false" ht="15" hidden="false" customHeight="true" outlineLevel="0" collapsed="false">
      <c r="A25" s="18" t="s">
        <v>545</v>
      </c>
    </row>
    <row r="26" customFormat="false" ht="15" hidden="false" customHeight="true" outlineLevel="0" collapsed="false">
      <c r="A26" s="18" t="s">
        <v>546</v>
      </c>
    </row>
    <row r="27" customFormat="false" ht="15" hidden="false" customHeight="true" outlineLevel="0" collapsed="false">
      <c r="A27" s="18" t="s">
        <v>547</v>
      </c>
    </row>
    <row r="28" customFormat="false" ht="15" hidden="false" customHeight="true" outlineLevel="0" collapsed="false">
      <c r="A28" s="18" t="s">
        <v>548</v>
      </c>
    </row>
    <row r="29" customFormat="false" ht="15" hidden="false" customHeight="true" outlineLevel="0" collapsed="false">
      <c r="A29" s="18" t="s">
        <v>549</v>
      </c>
    </row>
    <row r="30" customFormat="false" ht="15" hidden="false" customHeight="true" outlineLevel="0" collapsed="false">
      <c r="A30" s="18" t="s">
        <v>550</v>
      </c>
    </row>
    <row r="31" customFormat="false" ht="15" hidden="false" customHeight="true" outlineLevel="0" collapsed="false">
      <c r="A31" s="18" t="s">
        <v>551</v>
      </c>
    </row>
    <row r="32" customFormat="false" ht="15" hidden="false" customHeight="true" outlineLevel="0" collapsed="false">
      <c r="A32" s="18" t="s">
        <v>552</v>
      </c>
    </row>
    <row r="33" customFormat="false" ht="15" hidden="false" customHeight="true" outlineLevel="0" collapsed="false">
      <c r="A33" s="18" t="s">
        <v>553</v>
      </c>
    </row>
    <row r="34" customFormat="false" ht="15" hidden="false" customHeight="true" outlineLevel="0" collapsed="false">
      <c r="A34" s="18" t="s">
        <v>554</v>
      </c>
    </row>
    <row r="35" customFormat="false" ht="15" hidden="false" customHeight="true" outlineLevel="0" collapsed="false">
      <c r="A35" s="18" t="s">
        <v>555</v>
      </c>
    </row>
    <row r="36" customFormat="false" ht="15" hidden="false" customHeight="true" outlineLevel="0" collapsed="false">
      <c r="A36" s="18" t="s">
        <v>556</v>
      </c>
    </row>
    <row r="37" customFormat="false" ht="15" hidden="false" customHeight="true" outlineLevel="0" collapsed="false">
      <c r="A37" s="18" t="s">
        <v>557</v>
      </c>
    </row>
    <row r="38" customFormat="false" ht="15" hidden="false" customHeight="true" outlineLevel="0" collapsed="false">
      <c r="A38" s="18" t="s">
        <v>558</v>
      </c>
    </row>
    <row r="39" customFormat="false" ht="15" hidden="false" customHeight="true" outlineLevel="0" collapsed="false">
      <c r="A39" s="18" t="s">
        <v>559</v>
      </c>
    </row>
    <row r="40" customFormat="false" ht="15" hidden="false" customHeight="true" outlineLevel="0" collapsed="false">
      <c r="A40" s="18" t="s">
        <v>560</v>
      </c>
    </row>
    <row r="41" customFormat="false" ht="15" hidden="false" customHeight="true" outlineLevel="0" collapsed="false">
      <c r="A41" s="18" t="s">
        <v>561</v>
      </c>
    </row>
    <row r="42" customFormat="false" ht="15" hidden="false" customHeight="true" outlineLevel="0" collapsed="false">
      <c r="A42" s="18" t="s">
        <v>562</v>
      </c>
    </row>
    <row r="43" customFormat="false" ht="15" hidden="false" customHeight="true" outlineLevel="0" collapsed="false">
      <c r="A43" s="18" t="s">
        <v>563</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Y3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1" ySplit="7" topLeftCell="B8" activePane="bottomRight" state="frozen"/>
      <selection pane="topLeft" activeCell="A1" activeCellId="0" sqref="A1"/>
      <selection pane="topRight" activeCell="B1" activeCellId="0" sqref="B1"/>
      <selection pane="bottomLeft" activeCell="A8" activeCellId="0" sqref="A8"/>
      <selection pane="bottomRight" activeCell="A1" activeCellId="0" sqref="A1"/>
    </sheetView>
  </sheetViews>
  <sheetFormatPr defaultColWidth="8.6796875" defaultRowHeight="15" zeroHeight="false" outlineLevelRow="0" outlineLevelCol="0"/>
  <cols>
    <col collapsed="false" customWidth="true" hidden="false" outlineLevel="0" max="51" min="1" style="1" width="15"/>
  </cols>
  <sheetData>
    <row r="1" customFormat="false" ht="15" hidden="false" customHeight="true" outlineLevel="0" collapsed="false">
      <c r="A1" s="4" t="s">
        <v>564</v>
      </c>
    </row>
    <row r="3" customFormat="false" ht="15" hidden="false" customHeight="true" outlineLevel="0" collapsed="false">
      <c r="A3" s="18" t="s">
        <v>565</v>
      </c>
    </row>
    <row r="4" customFormat="false" ht="15" hidden="false" customHeight="true" outlineLevel="0" collapsed="false">
      <c r="A4" s="6" t="s">
        <v>395</v>
      </c>
    </row>
    <row r="6" customFormat="false" ht="15" hidden="false" customHeight="true" outlineLevel="0" collapsed="false">
      <c r="B6" s="2" t="s">
        <v>399</v>
      </c>
      <c r="C6" s="2" t="s">
        <v>399</v>
      </c>
      <c r="D6" s="2" t="s">
        <v>398</v>
      </c>
      <c r="E6" s="2" t="s">
        <v>399</v>
      </c>
      <c r="F6" s="2" t="s">
        <v>399</v>
      </c>
      <c r="G6" s="2" t="s">
        <v>398</v>
      </c>
      <c r="H6" s="2" t="s">
        <v>566</v>
      </c>
      <c r="I6" s="2" t="s">
        <v>566</v>
      </c>
      <c r="J6" s="2" t="s">
        <v>398</v>
      </c>
      <c r="K6" s="2" t="s">
        <v>398</v>
      </c>
      <c r="L6" s="2" t="s">
        <v>399</v>
      </c>
      <c r="M6" s="2" t="s">
        <v>399</v>
      </c>
      <c r="N6" s="2" t="s">
        <v>567</v>
      </c>
      <c r="O6" s="2" t="s">
        <v>398</v>
      </c>
      <c r="P6" s="2" t="s">
        <v>398</v>
      </c>
      <c r="Q6" s="2" t="s">
        <v>398</v>
      </c>
      <c r="R6" s="2" t="s">
        <v>566</v>
      </c>
      <c r="S6" s="2" t="s">
        <v>477</v>
      </c>
      <c r="T6" s="2" t="s">
        <v>477</v>
      </c>
      <c r="U6" s="2" t="s">
        <v>566</v>
      </c>
      <c r="V6" s="2" t="s">
        <v>398</v>
      </c>
      <c r="W6" s="2" t="s">
        <v>401</v>
      </c>
      <c r="X6" s="2" t="s">
        <v>401</v>
      </c>
      <c r="Y6" s="2" t="s">
        <v>478</v>
      </c>
      <c r="Z6" s="2" t="s">
        <v>398</v>
      </c>
      <c r="AA6" s="2" t="s">
        <v>398</v>
      </c>
      <c r="AB6" s="2" t="s">
        <v>398</v>
      </c>
      <c r="AC6" s="2" t="s">
        <v>398</v>
      </c>
      <c r="AD6" s="2" t="s">
        <v>399</v>
      </c>
      <c r="AE6" s="2" t="s">
        <v>566</v>
      </c>
      <c r="AF6" s="2" t="s">
        <v>480</v>
      </c>
      <c r="AG6" s="2" t="s">
        <v>480</v>
      </c>
      <c r="AI6" s="2" t="s">
        <v>399</v>
      </c>
      <c r="AJ6" s="2" t="s">
        <v>399</v>
      </c>
      <c r="AK6" s="2" t="s">
        <v>399</v>
      </c>
      <c r="AL6" s="2" t="s">
        <v>399</v>
      </c>
      <c r="AM6" s="2" t="s">
        <v>399</v>
      </c>
      <c r="AN6" s="2" t="s">
        <v>399</v>
      </c>
      <c r="AO6" s="2" t="s">
        <v>401</v>
      </c>
      <c r="AP6" s="2" t="s">
        <v>401</v>
      </c>
      <c r="AQ6" s="2" t="s">
        <v>399</v>
      </c>
      <c r="AR6" s="2" t="s">
        <v>399</v>
      </c>
      <c r="AS6" s="2" t="s">
        <v>399</v>
      </c>
      <c r="AT6" s="2" t="s">
        <v>399</v>
      </c>
      <c r="AU6" s="2" t="s">
        <v>399</v>
      </c>
      <c r="AV6" s="2" t="s">
        <v>398</v>
      </c>
      <c r="AW6" s="2" t="s">
        <v>398</v>
      </c>
      <c r="AX6" s="2" t="s">
        <v>566</v>
      </c>
      <c r="AY6" s="2" t="s">
        <v>399</v>
      </c>
    </row>
    <row r="7" customFormat="false" ht="53.25" hidden="false" customHeight="true" outlineLevel="0" collapsed="false">
      <c r="A7" s="8" t="s">
        <v>405</v>
      </c>
      <c r="B7" s="8" t="s">
        <v>481</v>
      </c>
      <c r="C7" s="8" t="s">
        <v>482</v>
      </c>
      <c r="D7" s="8" t="s">
        <v>408</v>
      </c>
      <c r="E7" s="8" t="s">
        <v>409</v>
      </c>
      <c r="F7" s="8" t="s">
        <v>483</v>
      </c>
      <c r="G7" s="8" t="s">
        <v>484</v>
      </c>
      <c r="H7" s="8" t="s">
        <v>485</v>
      </c>
      <c r="I7" s="8" t="s">
        <v>486</v>
      </c>
      <c r="J7" s="8" t="s">
        <v>414</v>
      </c>
      <c r="K7" s="8" t="s">
        <v>415</v>
      </c>
      <c r="L7" s="8" t="s">
        <v>487</v>
      </c>
      <c r="M7" s="8" t="s">
        <v>488</v>
      </c>
      <c r="N7" s="8" t="s">
        <v>418</v>
      </c>
      <c r="O7" s="8" t="s">
        <v>489</v>
      </c>
      <c r="P7" s="8" t="s">
        <v>423</v>
      </c>
      <c r="Q7" s="8" t="s">
        <v>424</v>
      </c>
      <c r="R7" s="8" t="s">
        <v>490</v>
      </c>
      <c r="S7" s="8" t="s">
        <v>491</v>
      </c>
      <c r="T7" s="8" t="s">
        <v>492</v>
      </c>
      <c r="U7" s="8" t="s">
        <v>493</v>
      </c>
      <c r="V7" s="8" t="s">
        <v>429</v>
      </c>
      <c r="W7" s="8" t="s">
        <v>430</v>
      </c>
      <c r="X7" s="8" t="s">
        <v>494</v>
      </c>
      <c r="Y7" s="8" t="s">
        <v>432</v>
      </c>
      <c r="Z7" s="8" t="s">
        <v>433</v>
      </c>
      <c r="AA7" s="8" t="s">
        <v>434</v>
      </c>
      <c r="AB7" s="8" t="s">
        <v>435</v>
      </c>
      <c r="AC7" s="8" t="s">
        <v>436</v>
      </c>
      <c r="AD7" s="8" t="s">
        <v>495</v>
      </c>
      <c r="AE7" s="8" t="s">
        <v>496</v>
      </c>
      <c r="AF7" s="8" t="s">
        <v>497</v>
      </c>
      <c r="AG7" s="8" t="s">
        <v>498</v>
      </c>
      <c r="AI7" s="8" t="s">
        <v>568</v>
      </c>
      <c r="AJ7" s="8" t="s">
        <v>569</v>
      </c>
      <c r="AK7" s="8" t="s">
        <v>570</v>
      </c>
      <c r="AL7" s="8" t="s">
        <v>571</v>
      </c>
      <c r="AM7" s="8" t="s">
        <v>572</v>
      </c>
      <c r="AN7" s="8" t="s">
        <v>573</v>
      </c>
      <c r="AO7" s="8" t="s">
        <v>574</v>
      </c>
      <c r="AP7" s="8" t="s">
        <v>575</v>
      </c>
      <c r="AQ7" s="8" t="s">
        <v>576</v>
      </c>
      <c r="AR7" s="8" t="s">
        <v>577</v>
      </c>
      <c r="AS7" s="8" t="s">
        <v>578</v>
      </c>
      <c r="AT7" s="8" t="s">
        <v>579</v>
      </c>
      <c r="AU7" s="8" t="s">
        <v>580</v>
      </c>
      <c r="AV7" s="8" t="s">
        <v>448</v>
      </c>
      <c r="AW7" s="8" t="s">
        <v>450</v>
      </c>
      <c r="AX7" s="8" t="s">
        <v>581</v>
      </c>
      <c r="AY7" s="8" t="s">
        <v>582</v>
      </c>
    </row>
    <row r="8" customFormat="false" ht="15" hidden="false" customHeight="true" outlineLevel="0" collapsed="false">
      <c r="A8" s="6" t="s">
        <v>452</v>
      </c>
      <c r="B8" s="9" t="n">
        <f aca="false">AI8/1000</f>
        <v>673.311</v>
      </c>
      <c r="C8" s="9" t="n">
        <f aca="false">AJ8/1000</f>
        <v>168.949</v>
      </c>
      <c r="D8" s="9" t="n">
        <f aca="false">B8-C8</f>
        <v>504.362</v>
      </c>
      <c r="E8" s="10" t="n">
        <v>25.78</v>
      </c>
      <c r="F8" s="19" t="n">
        <f aca="false">AQ8/1000</f>
        <v>168.007</v>
      </c>
      <c r="G8" s="9" t="n">
        <f aca="false">E8*F8</f>
        <v>4331.22046</v>
      </c>
      <c r="H8" s="9" t="n">
        <f aca="false">AM8/1000</f>
        <v>156.003</v>
      </c>
      <c r="I8" s="9" t="n">
        <f aca="false">AN8/1000</f>
        <v>291.309</v>
      </c>
      <c r="J8" s="9" t="n">
        <f aca="false">H8+I8</f>
        <v>447.312</v>
      </c>
      <c r="K8" s="9" t="n">
        <f aca="false">G8-J8</f>
        <v>3883.90846</v>
      </c>
      <c r="L8" s="9" t="n">
        <f aca="false">AT8/1000</f>
        <v>2900.015</v>
      </c>
      <c r="M8" s="9" t="n">
        <f aca="false">AU8/1000</f>
        <v>607.005</v>
      </c>
      <c r="N8" s="12" t="n">
        <v>0</v>
      </c>
      <c r="O8" s="9" t="n">
        <f aca="false">L8+M8+N8</f>
        <v>3507.02</v>
      </c>
      <c r="P8" s="9" t="n">
        <f aca="false">G8+O8</f>
        <v>7838.24046</v>
      </c>
      <c r="Q8" s="9" t="n">
        <f aca="false">K8+O8</f>
        <v>7390.92846</v>
      </c>
      <c r="R8" s="9" t="n">
        <f aca="false">AK8/1000</f>
        <v>478.401</v>
      </c>
      <c r="S8" s="22" t="s">
        <v>456</v>
      </c>
      <c r="T8" s="22" t="s">
        <v>456</v>
      </c>
      <c r="U8" s="9" t="n">
        <f aca="false">AL8/1000</f>
        <v>101.69</v>
      </c>
      <c r="V8" s="9" t="n">
        <f aca="false">R8-U8</f>
        <v>376.711</v>
      </c>
      <c r="W8" s="9" t="n">
        <f aca="false">AO8/1000</f>
        <v>402.275</v>
      </c>
      <c r="X8" s="9" t="n">
        <f aca="false">AP8/1000</f>
        <v>215.802</v>
      </c>
      <c r="Y8" s="13" t="n">
        <f aca="false">INDEX('10 YR UST'!$B:$B,MATCH(2025,'10 YR UST'!$A:$A,0))</f>
        <v>0.0418</v>
      </c>
      <c r="Z8" s="14" t="n">
        <f aca="false">B8/Q8</f>
        <v>0.0910996505572995</v>
      </c>
      <c r="AA8" s="14" t="n">
        <f aca="false">D8/K8</f>
        <v>0.12985939426595</v>
      </c>
      <c r="AB8" s="15" t="n">
        <f aca="false">Q8/B8</f>
        <v>10.9769905140418</v>
      </c>
      <c r="AC8" s="15" t="n">
        <f aca="false">K8/D8</f>
        <v>7.70063656659304</v>
      </c>
      <c r="AD8" s="17" t="n">
        <v>0.215</v>
      </c>
      <c r="AE8" s="17" t="n">
        <v>0.907</v>
      </c>
      <c r="AF8" s="22" t="s">
        <v>456</v>
      </c>
      <c r="AG8" s="22" t="s">
        <v>456</v>
      </c>
      <c r="AI8" s="12" t="n">
        <v>673311</v>
      </c>
      <c r="AJ8" s="12" t="n">
        <v>168949</v>
      </c>
      <c r="AK8" s="12" t="n">
        <v>478401</v>
      </c>
      <c r="AL8" s="12" t="n">
        <v>101690</v>
      </c>
      <c r="AM8" s="12" t="n">
        <v>156003</v>
      </c>
      <c r="AN8" s="12" t="n">
        <v>291309</v>
      </c>
      <c r="AO8" s="12" t="n">
        <v>402275</v>
      </c>
      <c r="AP8" s="12" t="n">
        <v>215802</v>
      </c>
      <c r="AQ8" s="12" t="n">
        <v>168007</v>
      </c>
      <c r="AR8" s="12" t="n">
        <v>4331220</v>
      </c>
      <c r="AS8" s="12" t="n">
        <v>3507020</v>
      </c>
      <c r="AT8" s="12" t="n">
        <f aca="false">249936+116000+399924+99930+124906+249719+274609+496124+395098+493769</f>
        <v>2900015</v>
      </c>
      <c r="AU8" s="12" t="n">
        <f aca="false">101140+118885+220775+124961+41244</f>
        <v>607005</v>
      </c>
      <c r="AV8" s="9" t="n">
        <f aca="false">AT8+AU8-AS8</f>
        <v>0</v>
      </c>
      <c r="AW8" s="9" t="n">
        <f aca="false">E8*AQ8-AR8</f>
        <v>0.459999999962747</v>
      </c>
      <c r="AX8" s="17" t="n">
        <v>0.888</v>
      </c>
      <c r="AY8" s="12" t="n">
        <v>1745</v>
      </c>
    </row>
    <row r="9" customFormat="false" ht="15" hidden="false" customHeight="true" outlineLevel="0" collapsed="false">
      <c r="A9" s="6" t="s">
        <v>453</v>
      </c>
      <c r="B9" s="9" t="n">
        <f aca="false">AI9/1000</f>
        <v>570.324</v>
      </c>
      <c r="C9" s="9" t="n">
        <f aca="false">AJ9/1000</f>
        <v>126.96</v>
      </c>
      <c r="D9" s="9" t="n">
        <f aca="false">B9-C9</f>
        <v>443.364</v>
      </c>
      <c r="E9" s="10" t="n">
        <v>30.64</v>
      </c>
      <c r="F9" s="19" t="n">
        <f aca="false">AQ9/1000</f>
        <v>167.685</v>
      </c>
      <c r="G9" s="9" t="n">
        <f aca="false">E9*F9</f>
        <v>5137.8684</v>
      </c>
      <c r="H9" s="9" t="n">
        <f aca="false">AM9/1000</f>
        <v>156.006</v>
      </c>
      <c r="I9" s="9" t="n">
        <f aca="false">AN9/1000</f>
        <v>402.571</v>
      </c>
      <c r="J9" s="9" t="n">
        <f aca="false">H9+I9</f>
        <v>558.577</v>
      </c>
      <c r="K9" s="9" t="n">
        <f aca="false">G9-J9</f>
        <v>4579.2914</v>
      </c>
      <c r="L9" s="9" t="n">
        <f aca="false">AT9/1000</f>
        <v>2648.325</v>
      </c>
      <c r="M9" s="9" t="n">
        <f aca="false">AU9/1000</f>
        <v>626.063</v>
      </c>
      <c r="N9" s="12" t="n">
        <v>0</v>
      </c>
      <c r="O9" s="9" t="n">
        <f aca="false">L9+M9+N9</f>
        <v>3274.388</v>
      </c>
      <c r="P9" s="9" t="n">
        <f aca="false">G9+O9</f>
        <v>8412.2564</v>
      </c>
      <c r="Q9" s="9" t="n">
        <f aca="false">K9+O9</f>
        <v>7853.6794</v>
      </c>
      <c r="R9" s="9" t="n">
        <f aca="false">AK9/1000</f>
        <v>414.092</v>
      </c>
      <c r="S9" s="22" t="s">
        <v>456</v>
      </c>
      <c r="T9" s="22" t="s">
        <v>456</v>
      </c>
      <c r="U9" s="9" t="n">
        <f aca="false">AL9/1000</f>
        <v>86.829</v>
      </c>
      <c r="V9" s="9" t="n">
        <f aca="false">R9-U9</f>
        <v>327.263</v>
      </c>
      <c r="W9" s="9" t="n">
        <f aca="false">AO9/1000</f>
        <v>400.233</v>
      </c>
      <c r="X9" s="9" t="n">
        <f aca="false">AP9/1000</f>
        <v>195.413</v>
      </c>
      <c r="Y9" s="13" t="n">
        <f aca="false">INDEX('10 YR UST'!$B:$B,MATCH(2024,'10 YR UST'!$A:$A,0))</f>
        <v>0.0458</v>
      </c>
      <c r="Z9" s="14" t="n">
        <f aca="false">B9/Q9</f>
        <v>0.0726187014967787</v>
      </c>
      <c r="AA9" s="14" t="n">
        <f aca="false">D9/K9</f>
        <v>0.0968193463294343</v>
      </c>
      <c r="AB9" s="15" t="n">
        <f aca="false">Q9/B9</f>
        <v>13.7705574375267</v>
      </c>
      <c r="AC9" s="15" t="n">
        <f aca="false">K9/D9</f>
        <v>10.328514268186</v>
      </c>
      <c r="AD9" s="17" t="n">
        <v>0.282</v>
      </c>
      <c r="AE9" s="17" t="n">
        <v>0.916</v>
      </c>
      <c r="AF9" s="22" t="s">
        <v>456</v>
      </c>
      <c r="AG9" s="22" t="s">
        <v>456</v>
      </c>
      <c r="AI9" s="12" t="n">
        <v>570324</v>
      </c>
      <c r="AJ9" s="12" t="n">
        <v>126960</v>
      </c>
      <c r="AK9" s="12" t="n">
        <v>414092</v>
      </c>
      <c r="AL9" s="12" t="n">
        <v>86829</v>
      </c>
      <c r="AM9" s="12" t="n">
        <v>156006</v>
      </c>
      <c r="AN9" s="12" t="n">
        <v>402571</v>
      </c>
      <c r="AO9" s="12" t="n">
        <v>400233</v>
      </c>
      <c r="AP9" s="12" t="n">
        <v>195413</v>
      </c>
      <c r="AQ9" s="12" t="n">
        <v>167685</v>
      </c>
      <c r="AR9" s="12" t="n">
        <v>5137868</v>
      </c>
      <c r="AS9" s="12" t="n">
        <v>3274388</v>
      </c>
      <c r="AT9" s="12" t="n">
        <f aca="false">112332+249940+493236+394274+399818+274496+249908+249605+124842+99874</f>
        <v>2648325</v>
      </c>
      <c r="AU9" s="12" t="n">
        <f aca="false">220731+122690+103920+137534+41188</f>
        <v>626063</v>
      </c>
      <c r="AV9" s="9" t="n">
        <f aca="false">AT9+AU9-AS9</f>
        <v>0</v>
      </c>
      <c r="AW9" s="9" t="n">
        <f aca="false">E9*AQ9-AR9</f>
        <v>0.400000000372529</v>
      </c>
      <c r="AX9" s="17" t="n">
        <v>0.886</v>
      </c>
      <c r="AY9" s="12" t="n">
        <v>1717</v>
      </c>
    </row>
    <row r="10" customFormat="false" ht="15" hidden="false" customHeight="true" outlineLevel="0" collapsed="false">
      <c r="A10" s="6" t="s">
        <v>454</v>
      </c>
      <c r="B10" s="9" t="n">
        <f aca="false">AI10/1000</f>
        <v>531.094</v>
      </c>
      <c r="C10" s="9" t="n">
        <f aca="false">AJ10/1000</f>
        <v>107.139</v>
      </c>
      <c r="D10" s="9" t="n">
        <f aca="false">B10-C10</f>
        <v>423.955</v>
      </c>
      <c r="E10" s="10" t="n">
        <v>24.35</v>
      </c>
      <c r="F10" s="19" t="n">
        <f aca="false">AQ10/1000</f>
        <v>151.824</v>
      </c>
      <c r="G10" s="9" t="n">
        <f aca="false">E10*F10</f>
        <v>3696.9144</v>
      </c>
      <c r="H10" s="9" t="n">
        <f aca="false">AM10/1000</f>
        <v>156.008</v>
      </c>
      <c r="I10" s="9" t="n">
        <f aca="false">AN10/1000</f>
        <v>358.79</v>
      </c>
      <c r="J10" s="9" t="n">
        <f aca="false">H10+I10</f>
        <v>514.798</v>
      </c>
      <c r="K10" s="9" t="n">
        <f aca="false">G10-J10</f>
        <v>3182.1164</v>
      </c>
      <c r="L10" s="9" t="n">
        <f aca="false">AT10/1000</f>
        <v>1931.67</v>
      </c>
      <c r="M10" s="9" t="n">
        <f aca="false">AU10/1000</f>
        <v>677.005</v>
      </c>
      <c r="N10" s="12" t="n">
        <v>0</v>
      </c>
      <c r="O10" s="9" t="n">
        <f aca="false">L10+M10+N10</f>
        <v>2608.675</v>
      </c>
      <c r="P10" s="9" t="n">
        <f aca="false">G10+O10</f>
        <v>6305.5894</v>
      </c>
      <c r="Q10" s="9" t="n">
        <f aca="false">K10+O10</f>
        <v>5790.7914</v>
      </c>
      <c r="R10" s="9" t="n">
        <f aca="false">AK10/1000</f>
        <v>398.289</v>
      </c>
      <c r="S10" s="22" t="s">
        <v>456</v>
      </c>
      <c r="T10" s="22" t="s">
        <v>456</v>
      </c>
      <c r="U10" s="9" t="n">
        <f aca="false">AL10/1000</f>
        <v>70.83</v>
      </c>
      <c r="V10" s="9" t="n">
        <f aca="false">R10-U10</f>
        <v>327.459</v>
      </c>
      <c r="W10" s="9" t="n">
        <f aca="false">AO10/1000</f>
        <v>368.362</v>
      </c>
      <c r="X10" s="9" t="n">
        <f aca="false">AP10/1000</f>
        <v>194.348</v>
      </c>
      <c r="Y10" s="13" t="n">
        <f aca="false">INDEX('10 YR UST'!$B:$B,MATCH(2023,'10 YR UST'!$A:$A,0))</f>
        <v>0.0388</v>
      </c>
      <c r="Z10" s="14" t="n">
        <f aca="false">B10/Q10</f>
        <v>0.0917135436790211</v>
      </c>
      <c r="AA10" s="14" t="n">
        <f aca="false">D10/K10</f>
        <v>0.133230512875016</v>
      </c>
      <c r="AB10" s="15" t="n">
        <f aca="false">Q10/B10</f>
        <v>10.9035150086425</v>
      </c>
      <c r="AC10" s="15" t="n">
        <f aca="false">K10/D10</f>
        <v>7.50578811430459</v>
      </c>
      <c r="AD10" s="17" t="n">
        <v>0.202</v>
      </c>
      <c r="AE10" s="17" t="n">
        <v>0.909</v>
      </c>
      <c r="AF10" s="22" t="s">
        <v>456</v>
      </c>
      <c r="AG10" s="22" t="s">
        <v>456</v>
      </c>
      <c r="AI10" s="12" t="n">
        <v>531094</v>
      </c>
      <c r="AJ10" s="12" t="n">
        <v>107139</v>
      </c>
      <c r="AK10" s="12" t="n">
        <v>398289</v>
      </c>
      <c r="AL10" s="12" t="n">
        <v>70830</v>
      </c>
      <c r="AM10" s="12" t="n">
        <v>156008</v>
      </c>
      <c r="AN10" s="12" t="n">
        <v>358790</v>
      </c>
      <c r="AO10" s="12" t="n">
        <v>368362</v>
      </c>
      <c r="AP10" s="12" t="n">
        <v>194348</v>
      </c>
      <c r="AQ10" s="12" t="n">
        <v>151824</v>
      </c>
      <c r="AR10" s="12" t="n">
        <v>3696914</v>
      </c>
      <c r="AS10" s="12" t="n">
        <v>2608675</v>
      </c>
      <c r="AT10" s="12" t="n">
        <f aca="false">199386+185100+349626+274383+249725+249491+199361+124778+99820</f>
        <v>1931670</v>
      </c>
      <c r="AU10" s="12" t="n">
        <f aca="false">220687+126369+106605+72296+109890+41158</f>
        <v>677005</v>
      </c>
      <c r="AV10" s="9" t="n">
        <f aca="false">AT10+AU10-AS10</f>
        <v>0</v>
      </c>
      <c r="AW10" s="9" t="n">
        <f aca="false">E10*AQ10-AR10</f>
        <v>0.400000000372529</v>
      </c>
      <c r="AX10" s="17" t="n">
        <v>0.875</v>
      </c>
      <c r="AY10" s="12" t="n">
        <v>1909</v>
      </c>
    </row>
    <row r="11" customFormat="false" ht="15" hidden="false" customHeight="true" outlineLevel="0" collapsed="false">
      <c r="A11" s="6" t="s">
        <v>455</v>
      </c>
      <c r="B11" s="9" t="n">
        <f aca="false">AI11/1000</f>
        <v>502.2</v>
      </c>
      <c r="C11" s="9" t="n">
        <f aca="false">AJ11/1000</f>
        <v>75.14</v>
      </c>
      <c r="D11" s="9" t="n">
        <f aca="false">B11-C11</f>
        <v>427.06</v>
      </c>
      <c r="E11" s="10" t="n">
        <v>25.29</v>
      </c>
      <c r="F11" s="19" t="n">
        <f aca="false">AQ11/1000</f>
        <v>151.482</v>
      </c>
      <c r="G11" s="9" t="n">
        <f aca="false">E11*F11</f>
        <v>3830.97978</v>
      </c>
      <c r="H11" s="9" t="n">
        <f aca="false">AM11/1000</f>
        <v>159.71</v>
      </c>
      <c r="I11" s="9" t="n">
        <f aca="false">AN11/1000</f>
        <v>256.782</v>
      </c>
      <c r="J11" s="9" t="n">
        <f aca="false">H11+I11</f>
        <v>416.492</v>
      </c>
      <c r="K11" s="9" t="n">
        <f aca="false">G11-J11</f>
        <v>3414.48778</v>
      </c>
      <c r="L11" s="9" t="n">
        <f aca="false">AT11/1000</f>
        <v>1800.865</v>
      </c>
      <c r="M11" s="9" t="n">
        <f aca="false">AU11/1000</f>
        <v>623.139</v>
      </c>
      <c r="N11" s="12" t="n">
        <v>0</v>
      </c>
      <c r="O11" s="9" t="n">
        <f aca="false">L11+M11+N11</f>
        <v>2424.004</v>
      </c>
      <c r="P11" s="9" t="n">
        <f aca="false">G11+O11</f>
        <v>6254.98378</v>
      </c>
      <c r="Q11" s="9" t="n">
        <f aca="false">K11+O11</f>
        <v>5838.49178</v>
      </c>
      <c r="R11" s="9" t="n">
        <f aca="false">AK11/1000</f>
        <v>408.759</v>
      </c>
      <c r="S11" s="22" t="s">
        <v>456</v>
      </c>
      <c r="T11" s="22" t="s">
        <v>456</v>
      </c>
      <c r="U11" s="9" t="n">
        <f aca="false">AL11/1000</f>
        <v>68.329</v>
      </c>
      <c r="V11" s="9" t="n">
        <f aca="false">R11-U11</f>
        <v>340.43</v>
      </c>
      <c r="W11" s="9" t="n">
        <f aca="false">AO11/1000</f>
        <v>365.166</v>
      </c>
      <c r="X11" s="9" t="n">
        <f aca="false">AP11/1000</f>
        <v>192.275</v>
      </c>
      <c r="Y11" s="13" t="n">
        <f aca="false">INDEX('10 YR UST'!$B:$B,MATCH(2022,'10 YR UST'!$A:$A,0))</f>
        <v>0.0388</v>
      </c>
      <c r="Z11" s="14" t="n">
        <f aca="false">B11/Q11</f>
        <v>0.0860153647420225</v>
      </c>
      <c r="AA11" s="14" t="n">
        <f aca="false">D11/K11</f>
        <v>0.125072932608357</v>
      </c>
      <c r="AB11" s="15" t="n">
        <f aca="false">Q11/B11</f>
        <v>11.625829908403</v>
      </c>
      <c r="AC11" s="15" t="n">
        <f aca="false">K11/D11</f>
        <v>7.99533503488971</v>
      </c>
      <c r="AD11" s="17" t="n">
        <v>0.232</v>
      </c>
      <c r="AE11" s="17" t="n">
        <v>0.91</v>
      </c>
      <c r="AF11" s="22" t="s">
        <v>456</v>
      </c>
      <c r="AG11" s="22" t="s">
        <v>456</v>
      </c>
      <c r="AI11" s="12" t="n">
        <v>502200</v>
      </c>
      <c r="AJ11" s="12" t="n">
        <v>75140</v>
      </c>
      <c r="AK11" s="12" t="n">
        <v>408759</v>
      </c>
      <c r="AL11" s="12" t="n">
        <v>68329</v>
      </c>
      <c r="AM11" s="12" t="n">
        <v>159710</v>
      </c>
      <c r="AN11" s="12" t="n">
        <v>256782</v>
      </c>
      <c r="AO11" s="12" t="n">
        <v>365166</v>
      </c>
      <c r="AP11" s="12" t="n">
        <v>192275</v>
      </c>
      <c r="AQ11" s="12" t="n">
        <v>151482</v>
      </c>
      <c r="AR11" s="12" t="n">
        <v>3830980</v>
      </c>
      <c r="AS11" s="12" t="n">
        <v>2424004</v>
      </c>
      <c r="AT11" s="12" t="n">
        <f aca="false">397719+56600+348877+274271+249542+249377+124714+99765</f>
        <v>1800865</v>
      </c>
      <c r="AU11" s="12" t="n">
        <f aca="false">129921+109199+220676+73945+57970+31428</f>
        <v>623139</v>
      </c>
      <c r="AV11" s="9" t="n">
        <f aca="false">AT11+AU11-AS11</f>
        <v>0</v>
      </c>
      <c r="AW11" s="9" t="n">
        <f aca="false">E11*AQ11-AR11</f>
        <v>-0.220000000204891</v>
      </c>
      <c r="AX11" s="17" t="n">
        <v>0.866</v>
      </c>
      <c r="AY11" s="12" t="n">
        <v>1304</v>
      </c>
    </row>
    <row r="12" customFormat="false" ht="15" hidden="false" customHeight="true" outlineLevel="0" collapsed="false">
      <c r="A12" s="6" t="s">
        <v>457</v>
      </c>
      <c r="B12" s="9" t="n">
        <f aca="false">AI12/1000</f>
        <v>493.72</v>
      </c>
      <c r="C12" s="9" t="n">
        <f aca="false">AJ12/1000</f>
        <v>69.937</v>
      </c>
      <c r="D12" s="9" t="n">
        <f aca="false">B12-C12</f>
        <v>423.783</v>
      </c>
      <c r="E12" s="10" t="n">
        <v>40.28</v>
      </c>
      <c r="F12" s="19" t="n">
        <f aca="false">AQ12/1000</f>
        <v>148.713</v>
      </c>
      <c r="G12" s="9" t="n">
        <f aca="false">E12*F12</f>
        <v>5990.15964</v>
      </c>
      <c r="H12" s="9" t="n">
        <f aca="false">AM12/1000</f>
        <v>166.267</v>
      </c>
      <c r="I12" s="9" t="n">
        <f aca="false">AN12/1000</f>
        <v>385.481</v>
      </c>
      <c r="J12" s="9" t="n">
        <f aca="false">H12+I12</f>
        <v>551.748</v>
      </c>
      <c r="K12" s="9" t="n">
        <f aca="false">G12-J12</f>
        <v>5438.41164</v>
      </c>
      <c r="L12" s="9" t="n">
        <f aca="false">AT12/1000</f>
        <v>1573.768</v>
      </c>
      <c r="M12" s="9" t="n">
        <f aca="false">AU12/1000</f>
        <v>776.546</v>
      </c>
      <c r="N12" s="12" t="n">
        <v>0</v>
      </c>
      <c r="O12" s="9" t="n">
        <f aca="false">L12+M12+N12</f>
        <v>2350.314</v>
      </c>
      <c r="P12" s="9" t="n">
        <f aca="false">G12+O12</f>
        <v>8340.47364</v>
      </c>
      <c r="Q12" s="9" t="n">
        <f aca="false">K12+O12</f>
        <v>7788.72564</v>
      </c>
      <c r="R12" s="9" t="n">
        <f aca="false">AK12/1000</f>
        <v>409.201</v>
      </c>
      <c r="S12" s="22" t="s">
        <v>456</v>
      </c>
      <c r="T12" s="22" t="s">
        <v>456</v>
      </c>
      <c r="U12" s="9" t="n">
        <f aca="false">AL12/1000</f>
        <v>61.722</v>
      </c>
      <c r="V12" s="9" t="n">
        <f aca="false">R12-U12</f>
        <v>347.479</v>
      </c>
      <c r="W12" s="9" t="n">
        <f aca="false">AO12/1000</f>
        <v>389.478</v>
      </c>
      <c r="X12" s="9" t="n">
        <f aca="false">AP12/1000</f>
        <v>182.84</v>
      </c>
      <c r="Y12" s="13" t="n">
        <f aca="false">INDEX('10 YR UST'!$B:$B,MATCH(2021,'10 YR UST'!$A:$A,0))</f>
        <v>0.0152</v>
      </c>
      <c r="Z12" s="14" t="n">
        <f aca="false">B12/Q12</f>
        <v>0.0633890603957646</v>
      </c>
      <c r="AA12" s="14" t="n">
        <f aca="false">D12/K12</f>
        <v>0.0779240388651419</v>
      </c>
      <c r="AB12" s="15" t="n">
        <f aca="false">Q12/B12</f>
        <v>15.7755927246212</v>
      </c>
      <c r="AC12" s="15" t="n">
        <f aca="false">K12/D12</f>
        <v>12.833010385032</v>
      </c>
      <c r="AD12" s="17" t="n">
        <v>0.247</v>
      </c>
      <c r="AE12" s="17" t="n">
        <v>0.915</v>
      </c>
      <c r="AF12" s="22" t="s">
        <v>456</v>
      </c>
      <c r="AG12" s="22" t="s">
        <v>456</v>
      </c>
      <c r="AI12" s="12" t="n">
        <v>493720</v>
      </c>
      <c r="AJ12" s="12" t="n">
        <v>69937</v>
      </c>
      <c r="AK12" s="12" t="n">
        <v>409201</v>
      </c>
      <c r="AL12" s="12" t="n">
        <v>61722</v>
      </c>
      <c r="AM12" s="12" t="n">
        <v>166267</v>
      </c>
      <c r="AN12" s="12" t="n">
        <v>385481</v>
      </c>
      <c r="AO12" s="12" t="n">
        <v>389478</v>
      </c>
      <c r="AP12" s="12" t="n">
        <v>182840</v>
      </c>
      <c r="AQ12" s="12" t="n">
        <v>148713</v>
      </c>
      <c r="AR12" s="12" t="n">
        <v>5990160</v>
      </c>
      <c r="AS12" s="12" t="n">
        <v>2350314</v>
      </c>
      <c r="AT12" s="12" t="n">
        <f aca="false">348129+228500+274158+249359+249263+124650+99709</f>
        <v>1573768</v>
      </c>
      <c r="AU12" s="12" t="n">
        <f aca="false">133358+114193+111701+89011+75522+73238+66718+66327+14195+32283</f>
        <v>776546</v>
      </c>
      <c r="AV12" s="9" t="n">
        <f aca="false">AT12+AU12-AS12</f>
        <v>0</v>
      </c>
      <c r="AW12" s="9" t="n">
        <f aca="false">E12*AQ12-AR12</f>
        <v>-0.359999999403954</v>
      </c>
      <c r="AX12" s="17" t="n">
        <v>0.9</v>
      </c>
      <c r="AY12" s="12" t="n">
        <v>1284</v>
      </c>
    </row>
    <row r="13" customFormat="false" ht="15" hidden="false" customHeight="true" outlineLevel="0" collapsed="false">
      <c r="A13" s="6" t="s">
        <v>458</v>
      </c>
      <c r="B13" s="9" t="n">
        <f aca="false">AI13/1000</f>
        <v>486.034</v>
      </c>
      <c r="C13" s="9" t="n">
        <f aca="false">AJ13/1000</f>
        <v>62.676</v>
      </c>
      <c r="D13" s="9" t="n">
        <f aca="false">B13-C13</f>
        <v>423.358</v>
      </c>
      <c r="E13" s="10" t="n">
        <v>33.5</v>
      </c>
      <c r="F13" s="19" t="n">
        <f aca="false">AQ13/1000</f>
        <v>148.589</v>
      </c>
      <c r="G13" s="9" t="n">
        <f aca="false">E13*F13</f>
        <v>4977.7315</v>
      </c>
      <c r="H13" s="9" t="n">
        <f aca="false">AM13/1000</f>
        <v>167.383</v>
      </c>
      <c r="I13" s="9" t="n">
        <f aca="false">AN13/1000</f>
        <v>323.457</v>
      </c>
      <c r="J13" s="9" t="n">
        <f aca="false">H13+I13</f>
        <v>490.84</v>
      </c>
      <c r="K13" s="9" t="n">
        <f aca="false">G13-J13</f>
        <v>4486.8915</v>
      </c>
      <c r="L13" s="9" t="n">
        <f aca="false">AT13/1000</f>
        <v>1478.595</v>
      </c>
      <c r="M13" s="9" t="n">
        <f aca="false">AU13/1000</f>
        <v>799.163</v>
      </c>
      <c r="N13" s="12" t="n">
        <v>0</v>
      </c>
      <c r="O13" s="9" t="n">
        <f aca="false">L13+M13+N13</f>
        <v>2277.758</v>
      </c>
      <c r="P13" s="9" t="n">
        <f aca="false">G13+O13</f>
        <v>7255.4895</v>
      </c>
      <c r="Q13" s="9" t="n">
        <f aca="false">K13+O13</f>
        <v>6764.6495</v>
      </c>
      <c r="R13" s="9" t="n">
        <f aca="false">AK13/1000</f>
        <v>413.247</v>
      </c>
      <c r="S13" s="22" t="s">
        <v>456</v>
      </c>
      <c r="T13" s="22" t="s">
        <v>456</v>
      </c>
      <c r="U13" s="9" t="n">
        <f aca="false">AL13/1000</f>
        <v>78.176</v>
      </c>
      <c r="V13" s="9" t="n">
        <f aca="false">R13-U13</f>
        <v>335.071</v>
      </c>
      <c r="W13" s="9" t="n">
        <f aca="false">AO13/1000</f>
        <v>351.088</v>
      </c>
      <c r="X13" s="9" t="n">
        <f aca="false">AP13/1000</f>
        <v>176.263</v>
      </c>
      <c r="Y13" s="13" t="n">
        <f aca="false">INDEX('10 YR UST'!$B:$B,MATCH(2020,'10 YR UST'!$A:$A,0))</f>
        <v>0.0093</v>
      </c>
      <c r="Z13" s="14" t="n">
        <f aca="false">B13/Q13</f>
        <v>0.0718491031944818</v>
      </c>
      <c r="AA13" s="14" t="n">
        <f aca="false">D13/K13</f>
        <v>0.094354409951745</v>
      </c>
      <c r="AB13" s="15" t="n">
        <f aca="false">Q13/B13</f>
        <v>13.9180582016896</v>
      </c>
      <c r="AC13" s="15" t="n">
        <f aca="false">K13/D13</f>
        <v>10.5983387582141</v>
      </c>
      <c r="AD13" s="17" t="n">
        <v>0.272</v>
      </c>
      <c r="AE13" s="17" t="n">
        <v>0.907</v>
      </c>
      <c r="AF13" s="22" t="s">
        <v>456</v>
      </c>
      <c r="AG13" s="22" t="s">
        <v>456</v>
      </c>
      <c r="AI13" s="12" t="n">
        <v>486034</v>
      </c>
      <c r="AJ13" s="12" t="n">
        <v>62676</v>
      </c>
      <c r="AK13" s="12" t="n">
        <v>413247</v>
      </c>
      <c r="AL13" s="12" t="n">
        <v>78176</v>
      </c>
      <c r="AM13" s="12" t="n">
        <v>167383</v>
      </c>
      <c r="AN13" s="12" t="n">
        <v>323457</v>
      </c>
      <c r="AO13" s="12" t="n">
        <v>351088</v>
      </c>
      <c r="AP13" s="12" t="n">
        <v>176263</v>
      </c>
      <c r="AQ13" s="12" t="n">
        <v>148589</v>
      </c>
      <c r="AR13" s="12" t="n">
        <v>4977732</v>
      </c>
      <c r="AS13" s="12" t="n">
        <v>2277759</v>
      </c>
      <c r="AT13" s="12" t="n">
        <f aca="false">249585+232400+274045+249176+249149+124586+99654</f>
        <v>1478595</v>
      </c>
      <c r="AU13" s="12" t="n">
        <f aca="false">136676+119833+114114+92492+77917+75655+67437+38517+43424+33098</f>
        <v>799163</v>
      </c>
      <c r="AV13" s="9" t="n">
        <f aca="false">AT13+AU13-AS13</f>
        <v>-1</v>
      </c>
      <c r="AW13" s="9" t="n">
        <f aca="false">E13*AQ13-AR13</f>
        <v>-0.5</v>
      </c>
      <c r="AX13" s="25" t="s">
        <v>456</v>
      </c>
      <c r="AY13" s="12" t="n">
        <v>1263</v>
      </c>
    </row>
    <row r="14" customFormat="false" ht="15" hidden="false" customHeight="true" outlineLevel="0" collapsed="false">
      <c r="A14" s="6" t="s">
        <v>459</v>
      </c>
      <c r="B14" s="9" t="n">
        <f aca="false">AI14/1000</f>
        <v>431.79</v>
      </c>
      <c r="C14" s="9" t="n">
        <f aca="false">AJ14/1000</f>
        <v>59.701</v>
      </c>
      <c r="D14" s="9" t="n">
        <f aca="false">B14-C14</f>
        <v>372.089</v>
      </c>
      <c r="E14" s="10" t="n">
        <v>41.2</v>
      </c>
      <c r="F14" s="19" t="n">
        <f aca="false">AQ14/1000</f>
        <v>148.506</v>
      </c>
      <c r="G14" s="9" t="n">
        <f aca="false">E14*F14</f>
        <v>6118.4472</v>
      </c>
      <c r="H14" s="9" t="n">
        <f aca="false">AM14/1000</f>
        <v>110.15</v>
      </c>
      <c r="I14" s="9" t="n">
        <f aca="false">AN14/1000</f>
        <v>333.037</v>
      </c>
      <c r="J14" s="9" t="n">
        <f aca="false">H14+I14</f>
        <v>443.187</v>
      </c>
      <c r="K14" s="9" t="n">
        <f aca="false">G14-J14</f>
        <v>5675.2602</v>
      </c>
      <c r="L14" s="9" t="n">
        <f aca="false">AT14/1000</f>
        <v>1496.806</v>
      </c>
      <c r="M14" s="9" t="n">
        <f aca="false">AU14/1000</f>
        <v>808.688</v>
      </c>
      <c r="N14" s="12" t="n">
        <v>0</v>
      </c>
      <c r="O14" s="9" t="n">
        <f aca="false">L14+M14+N14</f>
        <v>2305.494</v>
      </c>
      <c r="P14" s="9" t="n">
        <f aca="false">G14+O14</f>
        <v>8423.9412</v>
      </c>
      <c r="Q14" s="9" t="n">
        <f aca="false">K14+O14</f>
        <v>7980.7542</v>
      </c>
      <c r="R14" s="9" t="n">
        <f aca="false">AK14/1000</f>
        <v>328.793</v>
      </c>
      <c r="S14" s="22" t="s">
        <v>456</v>
      </c>
      <c r="T14" s="22" t="s">
        <v>456</v>
      </c>
      <c r="U14" s="9" t="n">
        <f aca="false">AL14/1000</f>
        <v>80.5</v>
      </c>
      <c r="V14" s="9" t="n">
        <f aca="false">R14-U14</f>
        <v>248.293</v>
      </c>
      <c r="W14" s="9" t="n">
        <f aca="false">AO14/1000</f>
        <v>303.177</v>
      </c>
      <c r="X14" s="9" t="n">
        <f aca="false">AP14/1000</f>
        <v>142.941</v>
      </c>
      <c r="Y14" s="13" t="n">
        <f aca="false">INDEX('10 YR UST'!$B:$B,MATCH(2019,'10 YR UST'!$A:$A,0))</f>
        <v>0.0192</v>
      </c>
      <c r="Z14" s="14" t="n">
        <f aca="false">B14/Q14</f>
        <v>0.054103909126784</v>
      </c>
      <c r="AA14" s="14" t="n">
        <f aca="false">D14/K14</f>
        <v>0.0655633375188683</v>
      </c>
      <c r="AB14" s="15" t="n">
        <f aca="false">Q14/B14</f>
        <v>18.4829528242896</v>
      </c>
      <c r="AC14" s="15" t="n">
        <f aca="false">K14/D14</f>
        <v>15.2524267043637</v>
      </c>
      <c r="AD14" s="17" t="n">
        <v>0.213</v>
      </c>
      <c r="AE14" s="17" t="n">
        <v>0.936</v>
      </c>
      <c r="AF14" s="22" t="s">
        <v>456</v>
      </c>
      <c r="AG14" s="22" t="s">
        <v>456</v>
      </c>
      <c r="AI14" s="12" t="n">
        <v>431790</v>
      </c>
      <c r="AJ14" s="12" t="n">
        <v>59701</v>
      </c>
      <c r="AK14" s="12" t="n">
        <v>328793</v>
      </c>
      <c r="AL14" s="12" t="n">
        <v>80500</v>
      </c>
      <c r="AM14" s="12" t="n">
        <v>110150</v>
      </c>
      <c r="AN14" s="12" t="n">
        <v>333037</v>
      </c>
      <c r="AO14" s="12" t="n">
        <v>303177</v>
      </c>
      <c r="AP14" s="12" t="n">
        <v>142941</v>
      </c>
      <c r="AQ14" s="12" t="n">
        <v>148506</v>
      </c>
      <c r="AR14" s="12" t="n">
        <v>6118447</v>
      </c>
      <c r="AS14" s="12" t="n">
        <v>2305494</v>
      </c>
      <c r="AT14" s="12" t="n">
        <f aca="false">251500+249226+273932+248993+249035+124521+99599</f>
        <v>1496806</v>
      </c>
      <c r="AU14" s="12" t="n">
        <f aca="false">139884+125304+116443+95824+79590+78005+68155+22964+37831+10715+33973</f>
        <v>808688</v>
      </c>
      <c r="AV14" s="9" t="n">
        <f aca="false">AT14+AU14-AS14</f>
        <v>0</v>
      </c>
      <c r="AW14" s="9" t="n">
        <f aca="false">E14*AQ14-AR14</f>
        <v>0.200000000186265</v>
      </c>
      <c r="AX14" s="17" t="n">
        <v>0.918</v>
      </c>
      <c r="AY14" s="12" t="n">
        <v>833</v>
      </c>
    </row>
    <row r="15" customFormat="false" ht="15" hidden="false" customHeight="true" outlineLevel="0" collapsed="false">
      <c r="A15" s="6" t="s">
        <v>460</v>
      </c>
      <c r="B15" s="9" t="n">
        <f aca="false">AI15/1000</f>
        <v>326.063</v>
      </c>
      <c r="C15" s="9" t="n">
        <f aca="false">AJ15/1000</f>
        <v>45.886</v>
      </c>
      <c r="D15" s="9" t="n">
        <f aca="false">B15-C15</f>
        <v>280.177</v>
      </c>
      <c r="E15" s="10" t="n">
        <v>7.9</v>
      </c>
      <c r="F15" s="19" t="n">
        <f aca="false">AQ15/1000</f>
        <v>427.359</v>
      </c>
      <c r="G15" s="9" t="n">
        <f aca="false">E15*F15</f>
        <v>3376.1361</v>
      </c>
      <c r="H15" s="9" t="n">
        <f aca="false">AM15/1000</f>
        <v>85.663</v>
      </c>
      <c r="I15" s="9" t="n">
        <f aca="false">AN15/1000</f>
        <v>99.029</v>
      </c>
      <c r="J15" s="9" t="n">
        <f aca="false">H15+I15</f>
        <v>184.692</v>
      </c>
      <c r="K15" s="9" t="n">
        <f aca="false">G15-J15</f>
        <v>3191.4441</v>
      </c>
      <c r="L15" s="9" t="n">
        <f aca="false">AT15/1000</f>
        <v>597.206</v>
      </c>
      <c r="M15" s="9" t="n">
        <f aca="false">AU15/1000</f>
        <v>636.81</v>
      </c>
      <c r="N15" s="12" t="n">
        <v>0</v>
      </c>
      <c r="O15" s="9" t="n">
        <f aca="false">L15+M15+N15</f>
        <v>1234.016</v>
      </c>
      <c r="P15" s="9" t="n">
        <f aca="false">G15+O15</f>
        <v>4610.1521</v>
      </c>
      <c r="Q15" s="9" t="n">
        <f aca="false">K15+O15</f>
        <v>4425.4601</v>
      </c>
      <c r="R15" s="9" t="n">
        <f aca="false">AK15/1000</f>
        <v>267.899</v>
      </c>
      <c r="S15" s="22" t="s">
        <v>456</v>
      </c>
      <c r="T15" s="22" t="s">
        <v>456</v>
      </c>
      <c r="U15" s="9" t="n">
        <f aca="false">AL15/1000</f>
        <v>51.149</v>
      </c>
      <c r="V15" s="9" t="n">
        <f aca="false">R15-U15</f>
        <v>216.75</v>
      </c>
      <c r="W15" s="9" t="n">
        <f aca="false">AO15/1000</f>
        <v>229.034</v>
      </c>
      <c r="X15" s="9" t="n">
        <f aca="false">AP15/1000</f>
        <v>107.167</v>
      </c>
      <c r="Y15" s="13" t="n">
        <f aca="false">INDEX('10 YR UST'!$B:$B,MATCH(2018,'10 YR UST'!$A:$A,0))</f>
        <v>0.0269</v>
      </c>
      <c r="Z15" s="14" t="n">
        <f aca="false">B15/Q15</f>
        <v>0.0736788927325319</v>
      </c>
      <c r="AA15" s="14" t="n">
        <f aca="false">D15/K15</f>
        <v>0.0877900383716575</v>
      </c>
      <c r="AB15" s="15" t="n">
        <f aca="false">Q15/B15</f>
        <v>13.5724080929146</v>
      </c>
      <c r="AC15" s="15" t="n">
        <f aca="false">K15/D15</f>
        <v>11.3908140211366</v>
      </c>
      <c r="AD15" s="17" t="n">
        <v>0.325</v>
      </c>
      <c r="AE15" s="17" t="n">
        <v>0.949</v>
      </c>
      <c r="AF15" s="22" t="s">
        <v>456</v>
      </c>
      <c r="AG15" s="22" t="s">
        <v>456</v>
      </c>
      <c r="AI15" s="12" t="n">
        <v>326063</v>
      </c>
      <c r="AJ15" s="12" t="n">
        <v>45886</v>
      </c>
      <c r="AK15" s="12" t="n">
        <v>267899</v>
      </c>
      <c r="AL15" s="12" t="n">
        <v>51149</v>
      </c>
      <c r="AM15" s="12" t="n">
        <v>85663</v>
      </c>
      <c r="AN15" s="12" t="n">
        <v>99029</v>
      </c>
      <c r="AO15" s="12" t="n">
        <v>229034</v>
      </c>
      <c r="AP15" s="12" t="n">
        <v>107167</v>
      </c>
      <c r="AQ15" s="12" t="n">
        <v>427359</v>
      </c>
      <c r="AR15" s="12" t="n">
        <v>3376136</v>
      </c>
      <c r="AS15" s="12" t="n">
        <v>1234016</v>
      </c>
      <c r="AT15" s="12" t="n">
        <f aca="false">248852+248810+99544</f>
        <v>597206</v>
      </c>
      <c r="AU15" s="12" t="n">
        <f aca="false">142981+118689+99015+81196+23483+37319+60517+38849+34761</f>
        <v>636810</v>
      </c>
      <c r="AV15" s="9" t="n">
        <f aca="false">AT15+AU15-AS15</f>
        <v>0</v>
      </c>
      <c r="AW15" s="9" t="n">
        <f aca="false">E15*AQ15-AR15</f>
        <v>0.100000000093132</v>
      </c>
      <c r="AX15" s="17" t="n">
        <v>0.919</v>
      </c>
      <c r="AY15" s="12" t="n">
        <v>558</v>
      </c>
    </row>
    <row r="16" customFormat="false" ht="15" hidden="false" customHeight="true" outlineLevel="0" collapsed="false">
      <c r="A16" s="6" t="s">
        <v>461</v>
      </c>
      <c r="B16" s="9" t="n">
        <f aca="false">AI16/1000</f>
        <v>313.206</v>
      </c>
      <c r="C16" s="9" t="n">
        <f aca="false">AJ16/1000</f>
        <v>41.382</v>
      </c>
      <c r="D16" s="9" t="n">
        <f aca="false">B16-C16</f>
        <v>271.824</v>
      </c>
      <c r="E16" s="10" t="n">
        <v>9.25</v>
      </c>
      <c r="F16" s="19" t="n">
        <f aca="false">AQ16/1000</f>
        <v>426.995</v>
      </c>
      <c r="G16" s="9" t="n">
        <f aca="false">E16*F16</f>
        <v>3949.70375</v>
      </c>
      <c r="H16" s="9" t="n">
        <f aca="false">AM16/1000</f>
        <v>23.254</v>
      </c>
      <c r="I16" s="9" t="n">
        <f aca="false">AN16/1000</f>
        <v>311.195</v>
      </c>
      <c r="J16" s="9" t="n">
        <f aca="false">H16+I16</f>
        <v>334.449</v>
      </c>
      <c r="K16" s="9" t="n">
        <f aca="false">G16-J16</f>
        <v>3615.25475</v>
      </c>
      <c r="L16" s="9" t="n">
        <f aca="false">AT16/1000</f>
        <v>596.577</v>
      </c>
      <c r="M16" s="9" t="n">
        <f aca="false">AU16/1000</f>
        <v>665.946</v>
      </c>
      <c r="N16" s="12" t="n">
        <v>0</v>
      </c>
      <c r="O16" s="9" t="n">
        <f aca="false">L16+M16+N16</f>
        <v>1262.523</v>
      </c>
      <c r="P16" s="9" t="n">
        <f aca="false">G16+O16</f>
        <v>5212.22675</v>
      </c>
      <c r="Q16" s="9" t="n">
        <f aca="false">K16+O16</f>
        <v>4877.77775</v>
      </c>
      <c r="R16" s="9" t="n">
        <f aca="false">AK16/1000</f>
        <v>259.9</v>
      </c>
      <c r="S16" s="22" t="s">
        <v>456</v>
      </c>
      <c r="T16" s="22" t="s">
        <v>456</v>
      </c>
      <c r="U16" s="9" t="n">
        <f aca="false">AL16/1000</f>
        <v>50.616</v>
      </c>
      <c r="V16" s="9" t="n">
        <f aca="false">R16-U16</f>
        <v>209.284</v>
      </c>
      <c r="W16" s="9" t="n">
        <f aca="false">AO16/1000</f>
        <v>211.649</v>
      </c>
      <c r="X16" s="9" t="n">
        <f aca="false">AP16/1000</f>
        <v>99.151</v>
      </c>
      <c r="Y16" s="13" t="n">
        <f aca="false">INDEX('10 YR UST'!$B:$B,MATCH(2017,'10 YR UST'!$A:$A,0))</f>
        <v>0.024</v>
      </c>
      <c r="Z16" s="14" t="n">
        <f aca="false">B16/Q16</f>
        <v>0.06421079763218</v>
      </c>
      <c r="AA16" s="14" t="n">
        <f aca="false">D16/K16</f>
        <v>0.0751880624733292</v>
      </c>
      <c r="AB16" s="15" t="n">
        <f aca="false">Q16/B16</f>
        <v>15.5737046863725</v>
      </c>
      <c r="AC16" s="15" t="n">
        <f aca="false">K16/D16</f>
        <v>13.299983629113</v>
      </c>
      <c r="AD16" s="17" t="n">
        <v>0.196</v>
      </c>
      <c r="AE16" s="17" t="n">
        <v>0.941</v>
      </c>
      <c r="AF16" s="22" t="s">
        <v>456</v>
      </c>
      <c r="AG16" s="22" t="s">
        <v>456</v>
      </c>
      <c r="AI16" s="12" t="n">
        <v>313206</v>
      </c>
      <c r="AJ16" s="12" t="n">
        <v>41382</v>
      </c>
      <c r="AK16" s="12" t="n">
        <v>259900</v>
      </c>
      <c r="AL16" s="12" t="n">
        <v>50616</v>
      </c>
      <c r="AM16" s="12" t="n">
        <v>23254</v>
      </c>
      <c r="AN16" s="12" t="n">
        <v>311195</v>
      </c>
      <c r="AO16" s="12" t="n">
        <v>211649</v>
      </c>
      <c r="AP16" s="12" t="n">
        <v>99151</v>
      </c>
      <c r="AQ16" s="12" t="n">
        <v>426995</v>
      </c>
      <c r="AR16" s="12" t="n">
        <v>3949704</v>
      </c>
      <c r="AS16" s="12" t="n">
        <v>1262523</v>
      </c>
      <c r="AT16" s="12" t="n">
        <f aca="false">248459+248629+99489</f>
        <v>596577</v>
      </c>
      <c r="AU16" s="12" t="n">
        <f aca="false">145974+119165+102071+82742+23970+22729+32206+61922+39644+35523</f>
        <v>665946</v>
      </c>
      <c r="AV16" s="9" t="n">
        <f aca="false">AT16+AU16-AS16</f>
        <v>0</v>
      </c>
      <c r="AW16" s="9" t="n">
        <f aca="false">E16*AQ16-AR16</f>
        <v>-0.25</v>
      </c>
      <c r="AX16" s="25" t="s">
        <v>456</v>
      </c>
      <c r="AY16" s="12" t="n">
        <v>16</v>
      </c>
    </row>
    <row r="17" customFormat="false" ht="15" hidden="false" customHeight="true" outlineLevel="0" collapsed="false">
      <c r="A17" s="6" t="s">
        <v>462</v>
      </c>
      <c r="B17" s="9" t="n">
        <f aca="false">AI17/1000</f>
        <v>260.281</v>
      </c>
      <c r="C17" s="9" t="n">
        <f aca="false">AJ17/1000</f>
        <v>41.095</v>
      </c>
      <c r="D17" s="9" t="n">
        <f aca="false">B17-C17</f>
        <v>219.186</v>
      </c>
      <c r="E17" s="10" t="n">
        <v>8.51</v>
      </c>
      <c r="F17" s="19" t="n">
        <f aca="false">AQ17/1000</f>
        <v>401.596</v>
      </c>
      <c r="G17" s="9" t="n">
        <f aca="false">E17*F17</f>
        <v>3417.58196</v>
      </c>
      <c r="H17" s="9" t="n">
        <f aca="false">AM17/1000</f>
        <v>19.93</v>
      </c>
      <c r="I17" s="9" t="n">
        <f aca="false">AN17/1000</f>
        <v>247.782</v>
      </c>
      <c r="J17" s="9" t="n">
        <f aca="false">H17+I17</f>
        <v>267.712</v>
      </c>
      <c r="K17" s="9" t="n">
        <f aca="false">G17-J17</f>
        <v>3149.86996</v>
      </c>
      <c r="L17" s="9" t="n">
        <f aca="false">AT17/1000</f>
        <v>382.174</v>
      </c>
      <c r="M17" s="9" t="n">
        <f aca="false">AU17/1000</f>
        <v>1250.096</v>
      </c>
      <c r="N17" s="12" t="n">
        <v>0</v>
      </c>
      <c r="O17" s="9" t="n">
        <f aca="false">L17+M17+N17</f>
        <v>1632.27</v>
      </c>
      <c r="P17" s="9" t="n">
        <f aca="false">G17+O17</f>
        <v>5049.85196</v>
      </c>
      <c r="Q17" s="9" t="n">
        <f aca="false">K17+O17</f>
        <v>4782.13996</v>
      </c>
      <c r="R17" s="9" t="n">
        <f aca="false">AK17/1000</f>
        <v>160.628</v>
      </c>
      <c r="S17" s="22" t="s">
        <v>456</v>
      </c>
      <c r="T17" s="22" t="s">
        <v>456</v>
      </c>
      <c r="U17" s="9" t="n">
        <f aca="false">AL17/1000</f>
        <v>33.236</v>
      </c>
      <c r="V17" s="9" t="n">
        <f aca="false">R17-U17</f>
        <v>127.392</v>
      </c>
      <c r="W17" s="9" t="n">
        <f aca="false">AO17/1000</f>
        <v>111.282</v>
      </c>
      <c r="X17" s="9" t="n">
        <f aca="false">AP17/1000</f>
        <v>50.548</v>
      </c>
      <c r="Y17" s="13" t="n">
        <f aca="false">INDEX('10 YR UST'!$B:$B,MATCH(2016,'10 YR UST'!$A:$A,0))</f>
        <v>0.0245</v>
      </c>
      <c r="Z17" s="14" t="n">
        <f aca="false">B17/Q17</f>
        <v>0.0544277252813822</v>
      </c>
      <c r="AA17" s="14" t="n">
        <f aca="false">D17/K17</f>
        <v>0.0695857298185097</v>
      </c>
      <c r="AB17" s="15" t="n">
        <f aca="false">Q17/B17</f>
        <v>18.3729890387696</v>
      </c>
      <c r="AC17" s="15" t="n">
        <f aca="false">K17/D17</f>
        <v>14.3707625487029</v>
      </c>
      <c r="AD17" s="17" t="n">
        <v>0.2</v>
      </c>
      <c r="AE17" s="17" t="n">
        <v>0.918</v>
      </c>
      <c r="AF17" s="22" t="s">
        <v>456</v>
      </c>
      <c r="AG17" s="22" t="s">
        <v>456</v>
      </c>
      <c r="AI17" s="12" t="n">
        <v>260281</v>
      </c>
      <c r="AJ17" s="12" t="n">
        <v>41095</v>
      </c>
      <c r="AK17" s="12" t="n">
        <v>160628</v>
      </c>
      <c r="AL17" s="12" t="n">
        <v>33236</v>
      </c>
      <c r="AM17" s="12" t="n">
        <v>19930</v>
      </c>
      <c r="AN17" s="12" t="n">
        <v>247782</v>
      </c>
      <c r="AO17" s="12" t="n">
        <v>111282</v>
      </c>
      <c r="AP17" s="12" t="n">
        <v>50548</v>
      </c>
      <c r="AQ17" s="12" t="n">
        <v>401596</v>
      </c>
      <c r="AR17" s="12" t="n">
        <v>3417582</v>
      </c>
      <c r="AS17" s="12" t="n">
        <v>1632270</v>
      </c>
      <c r="AT17" s="12" t="n">
        <f aca="false">248174+134000</f>
        <v>382174</v>
      </c>
      <c r="AU17" s="12" t="n">
        <f aca="false">148866+130002+127451+119069+104997+102562+84231+80258+53515+24426+23369+43522+33727+11870+63256+40408+36258+22309</f>
        <v>1250096</v>
      </c>
      <c r="AV17" s="9" t="n">
        <f aca="false">AT17+AU17-AS17</f>
        <v>0</v>
      </c>
      <c r="AW17" s="9" t="n">
        <f aca="false">E17*AQ17-AR17</f>
        <v>-0.0400000000372529</v>
      </c>
      <c r="AX17" s="25" t="s">
        <v>456</v>
      </c>
      <c r="AY17" s="12" t="n">
        <v>3775</v>
      </c>
    </row>
    <row r="20" customFormat="false" ht="15" hidden="false" customHeight="true" outlineLevel="0" collapsed="false">
      <c r="A20" s="6" t="s">
        <v>499</v>
      </c>
    </row>
    <row r="21" customFormat="false" ht="15" hidden="false" customHeight="true" outlineLevel="0" collapsed="false">
      <c r="A21" s="18" t="s">
        <v>583</v>
      </c>
    </row>
    <row r="22" customFormat="false" ht="15" hidden="false" customHeight="true" outlineLevel="0" collapsed="false">
      <c r="A22" s="18" t="s">
        <v>584</v>
      </c>
    </row>
    <row r="23" customFormat="false" ht="15" hidden="false" customHeight="true" outlineLevel="0" collapsed="false">
      <c r="A23" s="18" t="s">
        <v>585</v>
      </c>
    </row>
    <row r="24" customFormat="false" ht="15" hidden="false" customHeight="true" outlineLevel="0" collapsed="false">
      <c r="A24" s="18" t="s">
        <v>586</v>
      </c>
    </row>
    <row r="25" customFormat="false" ht="15" hidden="false" customHeight="true" outlineLevel="0" collapsed="false">
      <c r="A25" s="18" t="s">
        <v>587</v>
      </c>
    </row>
    <row r="26" customFormat="false" ht="15" hidden="false" customHeight="true" outlineLevel="0" collapsed="false">
      <c r="A26" s="18" t="s">
        <v>588</v>
      </c>
    </row>
    <row r="27" customFormat="false" ht="15" hidden="false" customHeight="true" outlineLevel="0" collapsed="false">
      <c r="A27" s="18" t="s">
        <v>589</v>
      </c>
    </row>
    <row r="28" customFormat="false" ht="15" hidden="false" customHeight="true" outlineLevel="0" collapsed="false">
      <c r="A28" s="18" t="s">
        <v>590</v>
      </c>
    </row>
    <row r="29" customFormat="false" ht="15" hidden="false" customHeight="true" outlineLevel="0" collapsed="false">
      <c r="A29" s="18" t="s">
        <v>591</v>
      </c>
    </row>
    <row r="30" customFormat="false" ht="15" hidden="false" customHeight="true" outlineLevel="0" collapsed="false">
      <c r="A30" s="18" t="s">
        <v>592</v>
      </c>
    </row>
    <row r="31" customFormat="false" ht="15" hidden="false" customHeight="true" outlineLevel="0" collapsed="false">
      <c r="A31" s="18" t="s">
        <v>593</v>
      </c>
    </row>
    <row r="32" customFormat="false" ht="15" hidden="false" customHeight="true" outlineLevel="0" collapsed="false">
      <c r="A32" s="18" t="s">
        <v>594</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F4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1" ySplit="3" topLeftCell="B4" activePane="bottomRight" state="frozen"/>
      <selection pane="topLeft" activeCell="A1" activeCellId="0" sqref="A1"/>
      <selection pane="topRight" activeCell="B1" activeCellId="0" sqref="B1"/>
      <selection pane="bottomLeft" activeCell="A4" activeCellId="0" sqref="A4"/>
      <selection pane="bottomRight" activeCell="A1" activeCellId="0" sqref="A1"/>
    </sheetView>
  </sheetViews>
  <sheetFormatPr defaultColWidth="8.6796875" defaultRowHeight="15" zeroHeight="false" outlineLevelRow="0" outlineLevelCol="0"/>
  <cols>
    <col collapsed="false" customWidth="true" hidden="false" outlineLevel="0" max="29" min="1" style="1" width="15"/>
    <col collapsed="false" customWidth="true" hidden="false" outlineLevel="0" max="32" min="31" style="0" width="15"/>
  </cols>
  <sheetData>
    <row r="1" customFormat="false" ht="15" hidden="false" customHeight="true" outlineLevel="0" collapsed="false">
      <c r="A1" s="4" t="s">
        <v>595</v>
      </c>
    </row>
    <row r="2" customFormat="false" ht="15" hidden="false" customHeight="true" outlineLevel="0" collapsed="false">
      <c r="A2" s="5" t="s">
        <v>596</v>
      </c>
    </row>
    <row r="3" customFormat="false" ht="75" hidden="false" customHeight="true" outlineLevel="0" collapsed="false">
      <c r="A3" s="8" t="s">
        <v>405</v>
      </c>
      <c r="B3" s="8" t="s">
        <v>597</v>
      </c>
      <c r="C3" s="8" t="s">
        <v>432</v>
      </c>
      <c r="D3" s="8" t="s">
        <v>513</v>
      </c>
      <c r="E3" s="8" t="s">
        <v>598</v>
      </c>
      <c r="F3" s="8" t="s">
        <v>515</v>
      </c>
      <c r="G3" s="8" t="s">
        <v>516</v>
      </c>
      <c r="H3" s="8" t="s">
        <v>517</v>
      </c>
      <c r="I3" s="8" t="s">
        <v>518</v>
      </c>
      <c r="J3" s="8" t="s">
        <v>435</v>
      </c>
      <c r="K3" s="8" t="s">
        <v>436</v>
      </c>
      <c r="L3" s="8" t="s">
        <v>481</v>
      </c>
      <c r="M3" s="8" t="s">
        <v>424</v>
      </c>
      <c r="N3" s="8" t="s">
        <v>408</v>
      </c>
      <c r="O3" s="8" t="s">
        <v>415</v>
      </c>
      <c r="P3" s="8" t="s">
        <v>519</v>
      </c>
      <c r="Q3" s="8" t="s">
        <v>520</v>
      </c>
      <c r="R3" s="8" t="s">
        <v>521</v>
      </c>
      <c r="S3" s="8" t="s">
        <v>522</v>
      </c>
      <c r="T3" s="8" t="s">
        <v>523</v>
      </c>
      <c r="U3" s="8" t="s">
        <v>524</v>
      </c>
      <c r="V3" s="8" t="s">
        <v>525</v>
      </c>
      <c r="W3" s="8" t="s">
        <v>526</v>
      </c>
      <c r="X3" s="8" t="s">
        <v>527</v>
      </c>
      <c r="Y3" s="8" t="s">
        <v>528</v>
      </c>
      <c r="Z3" s="8" t="s">
        <v>529</v>
      </c>
      <c r="AA3" s="8" t="s">
        <v>530</v>
      </c>
      <c r="AB3" s="8" t="s">
        <v>531</v>
      </c>
      <c r="AC3" s="8" t="s">
        <v>532</v>
      </c>
      <c r="AE3" s="21" t="s">
        <v>533</v>
      </c>
      <c r="AF3" s="21" t="s">
        <v>534</v>
      </c>
    </row>
    <row r="4" customFormat="false" ht="15" hidden="false" customHeight="true" outlineLevel="0" collapsed="false">
      <c r="A4" s="22" t="n">
        <v>2016</v>
      </c>
      <c r="B4" s="14" t="n">
        <f aca="false">'CUZ Final'!Z17</f>
        <v>0.0544277252813822</v>
      </c>
      <c r="C4" s="14" t="n">
        <f aca="false">'CUZ Final'!Y17</f>
        <v>0.0245</v>
      </c>
      <c r="D4" s="14" t="n">
        <f aca="false">B4-C4</f>
        <v>0.0299277252813822</v>
      </c>
      <c r="E4" s="14" t="n">
        <f aca="false">'CUZ Final'!AA17</f>
        <v>0.0695857298185097</v>
      </c>
      <c r="F4" s="14" t="n">
        <f aca="false">E4-B4</f>
        <v>0.0151580045371275</v>
      </c>
      <c r="G4" s="14" t="n">
        <f aca="false">INDEX('CoStar - US Office'!$B:$B,MATCH(2016,'CoStar - US Office'!$A:$A,0))</f>
        <v>0.0970735517913501</v>
      </c>
      <c r="H4" s="14" t="n">
        <f aca="false">INDEX('CoStar - US Office'!$E:$E,MATCH(2016,'CoStar - US Office'!$A:$A,0))</f>
        <v>0.031547647151038</v>
      </c>
      <c r="I4" s="14" t="n">
        <f aca="false">INDEX('CoStar - US Office'!$H:$H,MATCH(2016,'CoStar - US Office'!$A:$A,0))</f>
        <v>0.0055196739996702</v>
      </c>
      <c r="J4" s="15" t="n">
        <f aca="false">'CUZ Final'!AB17</f>
        <v>18.3729890387696</v>
      </c>
      <c r="K4" s="15" t="n">
        <f aca="false">'CUZ Final'!AC17</f>
        <v>14.3707625487029</v>
      </c>
      <c r="L4" s="9" t="n">
        <f aca="false">'CUZ Final'!B17</f>
        <v>260.281</v>
      </c>
      <c r="M4" s="9" t="n">
        <f aca="false">'CUZ Final'!Q17</f>
        <v>4782.13996</v>
      </c>
      <c r="N4" s="9" t="n">
        <f aca="false">'CUZ Final'!D17</f>
        <v>219.186</v>
      </c>
      <c r="O4" s="9" t="n">
        <f aca="false">'CUZ Final'!K17</f>
        <v>3149.86996</v>
      </c>
      <c r="P4" s="14" t="n">
        <f aca="false">INDEX('Prime Rate'!$B:$B,MATCH(2016,'Prime Rate'!$A:$A,0))</f>
        <v>0.0351</v>
      </c>
      <c r="Q4" s="9" t="n">
        <f aca="false">M4-L4</f>
        <v>4521.85896</v>
      </c>
      <c r="R4" s="9" t="n">
        <f aca="false">O4-N4</f>
        <v>2930.68396</v>
      </c>
      <c r="S4" s="23" t="n">
        <f aca="false">INDEX(Inflation!$G:$G,MATCH(2016,Inflation!$A:$A,0))</f>
        <v>0.0126707791495431</v>
      </c>
      <c r="T4" s="14" t="n">
        <f aca="false">INDEX('Green Street National'!$D:$D,MATCH(2016,'Green Street National'!$A:$A,0))</f>
        <v>0.05658714</v>
      </c>
      <c r="U4" s="9" t="n">
        <f aca="false">INDEX('Green Street National'!$F:$F,MATCH(2016,'Green Street National'!$A:$A,0))</f>
        <v>100</v>
      </c>
      <c r="V4" s="9" t="n">
        <f aca="false">INDEX(Inflation!$D:$D,MATCH(2016,Inflation!$A:$A,0))</f>
        <v>100</v>
      </c>
      <c r="W4" s="9" t="n">
        <f aca="false">INDEX(Inflation!$E:$E,MATCH(2016,Inflation!$A:$A,0))</f>
        <v>100</v>
      </c>
      <c r="X4" s="9" t="n">
        <f aca="false">INDEX('CoStar - US Office'!$G:$G,MATCH(2016,'CoStar - US Office'!$A:$A,0))</f>
        <v>100</v>
      </c>
      <c r="Y4" s="23" t="n">
        <f aca="false">INDEX('Green Street National'!$C:$C,MATCH(2016,'Green Street National'!$A:$A,0))</f>
        <v>0.01895593</v>
      </c>
      <c r="Z4" s="23" t="str">
        <f aca="false">INDEX('CoStar - US Office'!$D:$D,MATCH(2016,'CoStar - US Office'!$A:$A,0))</f>
        <v>n/a</v>
      </c>
      <c r="AA4" s="9" t="n">
        <f aca="false">INDEX('CoStar - US Office'!$F:$F,MATCH(2016,'CoStar - US Office'!$A:$A,0))</f>
        <v>31.6313190637154</v>
      </c>
      <c r="AB4" s="23" t="n">
        <f aca="false">INDEX('CoStar - US Office'!$C:$C,MATCH(2016,'CoStar - US Office'!$A:$A,0))</f>
        <v>0.90292644820865</v>
      </c>
      <c r="AC4" s="9" t="n">
        <f aca="false">100</f>
        <v>100</v>
      </c>
      <c r="AE4" s="24" t="str">
        <f aca="false">""</f>
        <v/>
      </c>
      <c r="AF4" s="24" t="str">
        <f aca="false">""</f>
        <v/>
      </c>
    </row>
    <row r="5" customFormat="false" ht="15" hidden="false" customHeight="true" outlineLevel="0" collapsed="false">
      <c r="A5" s="22" t="n">
        <v>2017</v>
      </c>
      <c r="B5" s="14" t="n">
        <f aca="false">'CUZ Final'!Z16</f>
        <v>0.06421079763218</v>
      </c>
      <c r="C5" s="14" t="n">
        <f aca="false">'CUZ Final'!Y16</f>
        <v>0.024</v>
      </c>
      <c r="D5" s="14" t="n">
        <f aca="false">B5-C5</f>
        <v>0.04021079763218</v>
      </c>
      <c r="E5" s="14" t="n">
        <f aca="false">'CUZ Final'!AA16</f>
        <v>0.0751880624733292</v>
      </c>
      <c r="F5" s="14" t="n">
        <f aca="false">E5-B5</f>
        <v>0.0109772648411492</v>
      </c>
      <c r="G5" s="14" t="n">
        <f aca="false">INDEX('CoStar - US Office'!$B:$B,MATCH(2017,'CoStar - US Office'!$A:$A,0))</f>
        <v>0.0954879748749349</v>
      </c>
      <c r="H5" s="14" t="n">
        <f aca="false">INDEX('CoStar - US Office'!$E:$E,MATCH(2017,'CoStar - US Office'!$A:$A,0))</f>
        <v>0.0238303537312997</v>
      </c>
      <c r="I5" s="14" t="n">
        <f aca="false">INDEX('CoStar - US Office'!$H:$H,MATCH(2017,'CoStar - US Office'!$A:$A,0))</f>
        <v>0.0069526825011159</v>
      </c>
      <c r="J5" s="15" t="n">
        <f aca="false">'CUZ Final'!AB16</f>
        <v>15.5737046863725</v>
      </c>
      <c r="K5" s="15" t="n">
        <f aca="false">'CUZ Final'!AC16</f>
        <v>13.299983629113</v>
      </c>
      <c r="L5" s="9" t="n">
        <f aca="false">'CUZ Final'!B16</f>
        <v>313.206</v>
      </c>
      <c r="M5" s="9" t="n">
        <f aca="false">'CUZ Final'!Q16</f>
        <v>4877.77775</v>
      </c>
      <c r="N5" s="9" t="n">
        <f aca="false">'CUZ Final'!D16</f>
        <v>271.824</v>
      </c>
      <c r="O5" s="9" t="n">
        <f aca="false">'CUZ Final'!K16</f>
        <v>3615.25475</v>
      </c>
      <c r="P5" s="14" t="n">
        <f aca="false">INDEX('Prime Rate'!$B:$B,MATCH(2017,'Prime Rate'!$A:$A,0))</f>
        <v>0.041</v>
      </c>
      <c r="Q5" s="9" t="n">
        <f aca="false">M5-L5</f>
        <v>4564.57175</v>
      </c>
      <c r="R5" s="9" t="n">
        <f aca="false">O5-N5</f>
        <v>3343.43075</v>
      </c>
      <c r="S5" s="23" t="n">
        <f aca="false">INDEX(Inflation!$G:$G,MATCH(2017,Inflation!$A:$A,0))</f>
        <v>0.0213162225786963</v>
      </c>
      <c r="T5" s="14" t="n">
        <f aca="false">INDEX('Green Street National'!$D:$D,MATCH(2017,'Green Street National'!$A:$A,0))</f>
        <v>0.05803697</v>
      </c>
      <c r="U5" s="9" t="n">
        <f aca="false">INDEX('Green Street National'!$F:$F,MATCH(2017,'Green Street National'!$A:$A,0))</f>
        <v>102.414193258894</v>
      </c>
      <c r="V5" s="9" t="n">
        <f aca="false">INDEX(Inflation!$D:$D,MATCH(2017,Inflation!$A:$A,0))</f>
        <v>102.196167016261</v>
      </c>
      <c r="W5" s="9" t="n">
        <f aca="false">INDEX(Inflation!$E:$E,MATCH(2017,Inflation!$A:$A,0))</f>
        <v>102.13162225787</v>
      </c>
      <c r="X5" s="9" t="n">
        <f aca="false">INDEX('CoStar - US Office'!$G:$G,MATCH(2017,'CoStar - US Office'!$A:$A,0))</f>
        <v>102.38303537313</v>
      </c>
      <c r="Y5" s="23" t="n">
        <f aca="false">INDEX('Green Street National'!$C:$C,MATCH(2017,'Green Street National'!$A:$A,0))</f>
        <v>0.00975579</v>
      </c>
      <c r="Z5" s="23" t="n">
        <f aca="false">INDEX('CoStar - US Office'!$D:$D,MATCH(2017,'CoStar - US Office'!$A:$A,0))</f>
        <v>0.00158557691641525</v>
      </c>
      <c r="AA5" s="9" t="n">
        <f aca="false">INDEX('CoStar - US Office'!$F:$F,MATCH(2017,'CoStar - US Office'!$A:$A,0))</f>
        <v>32.3851045859914</v>
      </c>
      <c r="AB5" s="23" t="n">
        <f aca="false">INDEX('CoStar - US Office'!$C:$C,MATCH(2017,'CoStar - US Office'!$A:$A,0))</f>
        <v>0.904512025125065</v>
      </c>
      <c r="AC5" s="9" t="n">
        <f aca="false">AC4*(1+INDEX('Green Street National'!$C:$C,MATCH(2017,'Green Street National'!$A:$A,0)))</f>
        <v>100.975579</v>
      </c>
      <c r="AE5" s="24" t="str">
        <f aca="false">IF(N(L4)=0,"",TEXT(L5/L4-1,"+0%;-0%"))</f>
        <v>+20%</v>
      </c>
      <c r="AF5" s="24" t="str">
        <f aca="false">IF(N(N4)=0,"",TEXT(N5/N4-1,"+0%;-0%"))</f>
        <v>+24%</v>
      </c>
    </row>
    <row r="6" customFormat="false" ht="15" hidden="false" customHeight="true" outlineLevel="0" collapsed="false">
      <c r="A6" s="22" t="n">
        <v>2018</v>
      </c>
      <c r="B6" s="14" t="n">
        <f aca="false">'CUZ Final'!Z15</f>
        <v>0.0736788927325319</v>
      </c>
      <c r="C6" s="14" t="n">
        <f aca="false">'CUZ Final'!Y15</f>
        <v>0.0269</v>
      </c>
      <c r="D6" s="14" t="n">
        <f aca="false">B6-C6</f>
        <v>0.0467788927325319</v>
      </c>
      <c r="E6" s="14" t="n">
        <f aca="false">'CUZ Final'!AA15</f>
        <v>0.0877900383716575</v>
      </c>
      <c r="F6" s="14" t="n">
        <f aca="false">E6-B6</f>
        <v>0.0141111456391256</v>
      </c>
      <c r="G6" s="14" t="n">
        <f aca="false">INDEX('CoStar - US Office'!$B:$B,MATCH(2018,'CoStar - US Office'!$A:$A,0))</f>
        <v>0.0932114558152037</v>
      </c>
      <c r="H6" s="14" t="n">
        <f aca="false">INDEX('CoStar - US Office'!$E:$E,MATCH(2018,'CoStar - US Office'!$A:$A,0))</f>
        <v>0.0302878208785191</v>
      </c>
      <c r="I6" s="14" t="n">
        <f aca="false">INDEX('CoStar - US Office'!$H:$H,MATCH(2018,'CoStar - US Office'!$A:$A,0))</f>
        <v>0.00664155934340847</v>
      </c>
      <c r="J6" s="15" t="n">
        <f aca="false">'CUZ Final'!AB15</f>
        <v>13.5724080929146</v>
      </c>
      <c r="K6" s="15" t="n">
        <f aca="false">'CUZ Final'!AC15</f>
        <v>11.3908140211366</v>
      </c>
      <c r="L6" s="9" t="n">
        <f aca="false">'CUZ Final'!B15</f>
        <v>326.063</v>
      </c>
      <c r="M6" s="9" t="n">
        <f aca="false">'CUZ Final'!Q15</f>
        <v>4425.4601</v>
      </c>
      <c r="N6" s="9" t="n">
        <f aca="false">'CUZ Final'!D15</f>
        <v>280.177</v>
      </c>
      <c r="O6" s="9" t="n">
        <f aca="false">'CUZ Final'!K15</f>
        <v>3191.4441</v>
      </c>
      <c r="P6" s="14" t="n">
        <f aca="false">INDEX('Prime Rate'!$B:$B,MATCH(2018,'Prime Rate'!$A:$A,0))</f>
        <v>0.049</v>
      </c>
      <c r="Q6" s="9" t="n">
        <f aca="false">M6-L6</f>
        <v>4099.3971</v>
      </c>
      <c r="R6" s="9" t="n">
        <f aca="false">O6-N6</f>
        <v>2911.2671</v>
      </c>
      <c r="S6" s="23" t="n">
        <f aca="false">INDEX(Inflation!$G:$G,MATCH(2018,Inflation!$A:$A,0))</f>
        <v>0.0243920349541655</v>
      </c>
      <c r="T6" s="14" t="n">
        <f aca="false">INDEX('Green Street National'!$D:$D,MATCH(2018,'Green Street National'!$A:$A,0))</f>
        <v>0.0583128</v>
      </c>
      <c r="U6" s="9" t="n">
        <f aca="false">INDEX('Green Street National'!$F:$F,MATCH(2018,'Green Street National'!$A:$A,0))</f>
        <v>102.121786086096</v>
      </c>
      <c r="V6" s="9" t="n">
        <f aca="false">INDEX(Inflation!$D:$D,MATCH(2018,Inflation!$A:$A,0))</f>
        <v>106.491690421126</v>
      </c>
      <c r="W6" s="9" t="n">
        <f aca="false">INDEX(Inflation!$E:$E,MATCH(2018,Inflation!$A:$A,0))</f>
        <v>104.622820357909</v>
      </c>
      <c r="X6" s="9" t="n">
        <f aca="false">INDEX('CoStar - US Office'!$G:$G,MATCH(2018,'CoStar - US Office'!$A:$A,0))</f>
        <v>105.483994409511</v>
      </c>
      <c r="Y6" s="23" t="n">
        <f aca="false">INDEX('Green Street National'!$C:$C,MATCH(2018,'Green Street National'!$A:$A,0))</f>
        <v>0.02229099</v>
      </c>
      <c r="Z6" s="23" t="n">
        <f aca="false">INDEX('CoStar - US Office'!$D:$D,MATCH(2018,'CoStar - US Office'!$A:$A,0))</f>
        <v>0.00227651905973114</v>
      </c>
      <c r="AA6" s="9" t="n">
        <f aca="false">INDEX('CoStar - US Office'!$F:$F,MATCH(2018,'CoStar - US Office'!$A:$A,0))</f>
        <v>33.365978832824</v>
      </c>
      <c r="AB6" s="23" t="n">
        <f aca="false">INDEX('CoStar - US Office'!$C:$C,MATCH(2018,'CoStar - US Office'!$A:$A,0))</f>
        <v>0.906788544184796</v>
      </c>
      <c r="AC6" s="9" t="n">
        <f aca="false">AC5*(1+INDEX('Green Street National'!$C:$C,MATCH(2018,'Green Street National'!$A:$A,0)))</f>
        <v>103.226424621733</v>
      </c>
      <c r="AE6" s="24" t="str">
        <f aca="false">IF(N(L5)=0,"",TEXT(L6/L5-1,"+0%;-0%"))</f>
        <v>+4%</v>
      </c>
      <c r="AF6" s="24" t="str">
        <f aca="false">IF(N(N5)=0,"",TEXT(N6/N5-1,"+0%;-0%"))</f>
        <v>+3%</v>
      </c>
    </row>
    <row r="7" customFormat="false" ht="15" hidden="false" customHeight="true" outlineLevel="0" collapsed="false">
      <c r="A7" s="22" t="n">
        <v>2019</v>
      </c>
      <c r="B7" s="14" t="n">
        <f aca="false">'CUZ Final'!Z14</f>
        <v>0.054103909126784</v>
      </c>
      <c r="C7" s="14" t="n">
        <f aca="false">'CUZ Final'!Y14</f>
        <v>0.0192</v>
      </c>
      <c r="D7" s="14" t="n">
        <f aca="false">B7-C7</f>
        <v>0.034903909126784</v>
      </c>
      <c r="E7" s="14" t="n">
        <f aca="false">'CUZ Final'!AA14</f>
        <v>0.0655633375188683</v>
      </c>
      <c r="F7" s="14" t="n">
        <f aca="false">E7-B7</f>
        <v>0.0114594283920843</v>
      </c>
      <c r="G7" s="14" t="n">
        <f aca="false">INDEX('CoStar - US Office'!$B:$B,MATCH(2019,'CoStar - US Office'!$A:$A,0))</f>
        <v>0.0935992552144097</v>
      </c>
      <c r="H7" s="14" t="n">
        <f aca="false">INDEX('CoStar - US Office'!$E:$E,MATCH(2019,'CoStar - US Office'!$A:$A,0))</f>
        <v>0.0354820605592993</v>
      </c>
      <c r="I7" s="14" t="n">
        <f aca="false">INDEX('CoStar - US Office'!$H:$H,MATCH(2019,'CoStar - US Office'!$A:$A,0))</f>
        <v>0.0067202786358476</v>
      </c>
      <c r="J7" s="15" t="n">
        <f aca="false">'CUZ Final'!AB14</f>
        <v>18.4829528242896</v>
      </c>
      <c r="K7" s="15" t="n">
        <f aca="false">'CUZ Final'!AC14</f>
        <v>15.2524267043637</v>
      </c>
      <c r="L7" s="9" t="n">
        <f aca="false">'CUZ Final'!B14</f>
        <v>431.79</v>
      </c>
      <c r="M7" s="9" t="n">
        <f aca="false">'CUZ Final'!Q14</f>
        <v>7980.7542</v>
      </c>
      <c r="N7" s="9" t="n">
        <f aca="false">'CUZ Final'!D14</f>
        <v>372.089</v>
      </c>
      <c r="O7" s="9" t="n">
        <f aca="false">'CUZ Final'!K14</f>
        <v>5675.2602</v>
      </c>
      <c r="P7" s="14" t="n">
        <f aca="false">INDEX('Prime Rate'!$B:$B,MATCH(2019,'Prime Rate'!$A:$A,0))</f>
        <v>0.0528</v>
      </c>
      <c r="Q7" s="9" t="n">
        <f aca="false">M7-L7</f>
        <v>7548.9642</v>
      </c>
      <c r="R7" s="9" t="n">
        <f aca="false">O7-N7</f>
        <v>5303.1712</v>
      </c>
      <c r="S7" s="23" t="n">
        <f aca="false">INDEX(Inflation!$G:$G,MATCH(2019,Inflation!$A:$A,0))</f>
        <v>0.0181322182397452</v>
      </c>
      <c r="T7" s="14" t="n">
        <f aca="false">INDEX('Green Street National'!$D:$D,MATCH(2019,'Green Street National'!$A:$A,0))</f>
        <v>0.05915908</v>
      </c>
      <c r="U7" s="9" t="n">
        <f aca="false">INDEX('Green Street National'!$F:$F,MATCH(2019,'Green Street National'!$A:$A,0))</f>
        <v>104.704183104862</v>
      </c>
      <c r="V7" s="9" t="n">
        <f aca="false">INDEX(Inflation!$D:$D,MATCH(2019,Inflation!$A:$A,0))</f>
        <v>111.952526936661</v>
      </c>
      <c r="W7" s="9" t="n">
        <f aca="false">INDEX(Inflation!$E:$E,MATCH(2019,Inflation!$A:$A,0))</f>
        <v>106.519864169497</v>
      </c>
      <c r="X7" s="9" t="n">
        <f aca="false">INDEX('CoStar - US Office'!$G:$G,MATCH(2019,'CoStar - US Office'!$A:$A,0))</f>
        <v>109.226783887186</v>
      </c>
      <c r="Y7" s="23" t="n">
        <f aca="false">INDEX('Green Street National'!$C:$C,MATCH(2019,'Green Street National'!$A:$A,0))</f>
        <v>0.03556294</v>
      </c>
      <c r="Z7" s="23" t="n">
        <f aca="false">INDEX('CoStar - US Office'!$D:$D,MATCH(2019,'CoStar - US Office'!$A:$A,0))</f>
        <v>-0.000387799399205968</v>
      </c>
      <c r="AA7" s="9" t="n">
        <f aca="false">INDEX('CoStar - US Office'!$F:$F,MATCH(2019,'CoStar - US Office'!$A:$A,0))</f>
        <v>34.5498725143906</v>
      </c>
      <c r="AB7" s="23" t="n">
        <f aca="false">INDEX('CoStar - US Office'!$C:$C,MATCH(2019,'CoStar - US Office'!$A:$A,0))</f>
        <v>0.90640074478559</v>
      </c>
      <c r="AC7" s="9" t="n">
        <f aca="false">AC6*(1+INDEX('Green Street National'!$C:$C,MATCH(2019,'Green Street National'!$A:$A,0)))</f>
        <v>106.89745976697</v>
      </c>
      <c r="AE7" s="24" t="str">
        <f aca="false">IF(N(L6)=0,"",TEXT(L7/L6-1,"+0%;-0%"))</f>
        <v>+32%</v>
      </c>
      <c r="AF7" s="24" t="str">
        <f aca="false">IF(N(N6)=0,"",TEXT(N7/N6-1,"+0%;-0%"))</f>
        <v>+33%</v>
      </c>
    </row>
    <row r="8" customFormat="false" ht="15" hidden="false" customHeight="true" outlineLevel="0" collapsed="false">
      <c r="A8" s="22" t="n">
        <v>2020</v>
      </c>
      <c r="B8" s="14" t="n">
        <f aca="false">'CUZ Final'!Z13</f>
        <v>0.0718491031944818</v>
      </c>
      <c r="C8" s="14" t="n">
        <f aca="false">'CUZ Final'!Y13</f>
        <v>0.0093</v>
      </c>
      <c r="D8" s="14" t="n">
        <f aca="false">B8-C8</f>
        <v>0.0625491031944818</v>
      </c>
      <c r="E8" s="14" t="n">
        <f aca="false">'CUZ Final'!AA13</f>
        <v>0.094354409951745</v>
      </c>
      <c r="F8" s="14" t="n">
        <f aca="false">E8-B8</f>
        <v>0.0225053067572631</v>
      </c>
      <c r="G8" s="14" t="n">
        <f aca="false">INDEX('CoStar - US Office'!$B:$B,MATCH(2020,'CoStar - US Office'!$A:$A,0))</f>
        <v>0.107657163277639</v>
      </c>
      <c r="H8" s="14" t="n">
        <f aca="false">INDEX('CoStar - US Office'!$E:$E,MATCH(2020,'CoStar - US Office'!$A:$A,0))</f>
        <v>-0.0155535025524075</v>
      </c>
      <c r="I8" s="14" t="n">
        <f aca="false">INDEX('CoStar - US Office'!$H:$H,MATCH(2020,'CoStar - US Office'!$A:$A,0))</f>
        <v>0.00631100374992295</v>
      </c>
      <c r="J8" s="15" t="n">
        <f aca="false">'CUZ Final'!AB13</f>
        <v>13.9180582016896</v>
      </c>
      <c r="K8" s="15" t="n">
        <f aca="false">'CUZ Final'!AC13</f>
        <v>10.5983387582141</v>
      </c>
      <c r="L8" s="9" t="n">
        <f aca="false">'CUZ Final'!B13</f>
        <v>486.034</v>
      </c>
      <c r="M8" s="9" t="n">
        <f aca="false">'CUZ Final'!Q13</f>
        <v>6764.6495</v>
      </c>
      <c r="N8" s="9" t="n">
        <f aca="false">'CUZ Final'!D13</f>
        <v>423.358</v>
      </c>
      <c r="O8" s="9" t="n">
        <f aca="false">'CUZ Final'!K13</f>
        <v>4486.8915</v>
      </c>
      <c r="P8" s="14" t="n">
        <f aca="false">INDEX('Prime Rate'!$B:$B,MATCH(2020,'Prime Rate'!$A:$A,0))</f>
        <v>0.0354</v>
      </c>
      <c r="Q8" s="9" t="n">
        <f aca="false">M8-L8</f>
        <v>6278.6155</v>
      </c>
      <c r="R8" s="9" t="n">
        <f aca="false">O8-N8</f>
        <v>4063.5335</v>
      </c>
      <c r="S8" s="23" t="n">
        <f aca="false">INDEX(Inflation!$G:$G,MATCH(2020,Inflation!$A:$A,0))</f>
        <v>0.0125287010127009</v>
      </c>
      <c r="T8" s="14" t="n">
        <f aca="false">INDEX('Green Street National'!$D:$D,MATCH(2020,'Green Street National'!$A:$A,0))</f>
        <v>0.06399001</v>
      </c>
      <c r="U8" s="9" t="n">
        <f aca="false">INDEX('Green Street National'!$F:$F,MATCH(2020,'Green Street National'!$A:$A,0))</f>
        <v>97.1388418279712</v>
      </c>
      <c r="V8" s="9" t="n">
        <f aca="false">INDEX(Inflation!$D:$D,MATCH(2020,Inflation!$A:$A,0))</f>
        <v>114.716111798347</v>
      </c>
      <c r="W8" s="9" t="n">
        <f aca="false">INDEX(Inflation!$E:$E,MATCH(2020,Inflation!$A:$A,0))</f>
        <v>107.85441969959</v>
      </c>
      <c r="X8" s="9" t="n">
        <f aca="false">INDEX('CoStar - US Office'!$G:$G,MATCH(2020,'CoStar - US Office'!$A:$A,0))</f>
        <v>107.527924825205</v>
      </c>
      <c r="Y8" s="23" t="n">
        <f aca="false">INDEX('Green Street National'!$C:$C,MATCH(2020,'Green Street National'!$A:$A,0))</f>
        <v>-0.07888407</v>
      </c>
      <c r="Z8" s="23" t="n">
        <f aca="false">INDEX('CoStar - US Office'!$D:$D,MATCH(2020,'CoStar - US Office'!$A:$A,0))</f>
        <v>-0.0140579080632293</v>
      </c>
      <c r="AA8" s="9" t="n">
        <f aca="false">INDEX('CoStar - US Office'!$F:$F,MATCH(2020,'CoStar - US Office'!$A:$A,0))</f>
        <v>34.0125009840526</v>
      </c>
      <c r="AB8" s="23" t="n">
        <f aca="false">INDEX('CoStar - US Office'!$C:$C,MATCH(2020,'CoStar - US Office'!$A:$A,0))</f>
        <v>0.892342836722361</v>
      </c>
      <c r="AC8" s="9" t="n">
        <f aca="false">AC7*(1+INDEX('Green Street National'!$C:$C,MATCH(2020,'Green Street National'!$A:$A,0)))</f>
        <v>98.4649530678906</v>
      </c>
      <c r="AE8" s="24" t="str">
        <f aca="false">IF(N(L7)=0,"",TEXT(L8/L7-1,"+0%;-0%"))</f>
        <v>+13%</v>
      </c>
      <c r="AF8" s="24" t="str">
        <f aca="false">IF(N(N7)=0,"",TEXT(N8/N7-1,"+0%;-0%"))</f>
        <v>+14%</v>
      </c>
    </row>
    <row r="9" customFormat="false" ht="15" hidden="false" customHeight="true" outlineLevel="0" collapsed="false">
      <c r="A9" s="22" t="n">
        <v>2021</v>
      </c>
      <c r="B9" s="14" t="n">
        <f aca="false">'CUZ Final'!Z12</f>
        <v>0.0633890603957646</v>
      </c>
      <c r="C9" s="14" t="n">
        <f aca="false">'CUZ Final'!Y12</f>
        <v>0.0152</v>
      </c>
      <c r="D9" s="14" t="n">
        <f aca="false">B9-C9</f>
        <v>0.0481890603957646</v>
      </c>
      <c r="E9" s="14" t="n">
        <f aca="false">'CUZ Final'!AA12</f>
        <v>0.0779240388651419</v>
      </c>
      <c r="F9" s="14" t="n">
        <f aca="false">E9-B9</f>
        <v>0.0145349784693773</v>
      </c>
      <c r="G9" s="14" t="n">
        <f aca="false">INDEX('CoStar - US Office'!$B:$B,MATCH(2021,'CoStar - US Office'!$A:$A,0))</f>
        <v>0.118179744708771</v>
      </c>
      <c r="H9" s="14" t="n">
        <f aca="false">INDEX('CoStar - US Office'!$E:$E,MATCH(2021,'CoStar - US Office'!$A:$A,0))</f>
        <v>0.00888497006002991</v>
      </c>
      <c r="I9" s="14" t="n">
        <f aca="false">INDEX('CoStar - US Office'!$H:$H,MATCH(2021,'CoStar - US Office'!$A:$A,0))</f>
        <v>0.00599925350302214</v>
      </c>
      <c r="J9" s="15" t="n">
        <f aca="false">'CUZ Final'!AB12</f>
        <v>15.7755927246212</v>
      </c>
      <c r="K9" s="15" t="n">
        <f aca="false">'CUZ Final'!AC12</f>
        <v>12.833010385032</v>
      </c>
      <c r="L9" s="9" t="n">
        <f aca="false">'CUZ Final'!B12</f>
        <v>493.72</v>
      </c>
      <c r="M9" s="9" t="n">
        <f aca="false">'CUZ Final'!Q12</f>
        <v>7788.72564</v>
      </c>
      <c r="N9" s="9" t="n">
        <f aca="false">'CUZ Final'!D12</f>
        <v>423.783</v>
      </c>
      <c r="O9" s="9" t="n">
        <f aca="false">'CUZ Final'!K12</f>
        <v>5438.41164</v>
      </c>
      <c r="P9" s="14" t="n">
        <f aca="false">INDEX('Prime Rate'!$B:$B,MATCH(2021,'Prime Rate'!$A:$A,0))</f>
        <v>0.0325</v>
      </c>
      <c r="Q9" s="9" t="n">
        <f aca="false">M9-L9</f>
        <v>7295.00564</v>
      </c>
      <c r="R9" s="9" t="n">
        <f aca="false">O9-N9</f>
        <v>5014.62864</v>
      </c>
      <c r="S9" s="23" t="n">
        <f aca="false">INDEX(Inflation!$G:$G,MATCH(2021,Inflation!$A:$A,0))</f>
        <v>0.0468098093148315</v>
      </c>
      <c r="T9" s="14" t="n">
        <f aca="false">INDEX('Green Street National'!$D:$D,MATCH(2021,'Green Street National'!$A:$A,0))</f>
        <v>0.06497242</v>
      </c>
      <c r="U9" s="9" t="n">
        <f aca="false">INDEX('Green Street National'!$F:$F,MATCH(2021,'Green Street National'!$A:$A,0))</f>
        <v>96.7262233029072</v>
      </c>
      <c r="V9" s="9" t="n">
        <f aca="false">INDEX(Inflation!$D:$D,MATCH(2021,Inflation!$A:$A,0))</f>
        <v>120.671758188566</v>
      </c>
      <c r="W9" s="9" t="n">
        <f aca="false">INDEX(Inflation!$E:$E,MATCH(2021,Inflation!$A:$A,0))</f>
        <v>112.903064519489</v>
      </c>
      <c r="X9" s="9" t="n">
        <f aca="false">INDEX('CoStar - US Office'!$G:$G,MATCH(2021,'CoStar - US Office'!$A:$A,0))</f>
        <v>108.483307217894</v>
      </c>
      <c r="Y9" s="23" t="n">
        <f aca="false">INDEX('Green Street National'!$C:$C,MATCH(2021,'Green Street National'!$A:$A,0))</f>
        <v>-0.05368289</v>
      </c>
      <c r="Z9" s="23" t="n">
        <f aca="false">INDEX('CoStar - US Office'!$D:$D,MATCH(2021,'CoStar - US Office'!$A:$A,0))</f>
        <v>-0.0105225814311321</v>
      </c>
      <c r="AA9" s="9" t="n">
        <f aca="false">INDEX('CoStar - US Office'!$F:$F,MATCH(2021,'CoStar - US Office'!$A:$A,0))</f>
        <v>34.3147010369627</v>
      </c>
      <c r="AB9" s="23" t="n">
        <f aca="false">INDEX('CoStar - US Office'!$C:$C,MATCH(2021,'CoStar - US Office'!$A:$A,0))</f>
        <v>0.881820255291229</v>
      </c>
      <c r="AC9" s="9" t="n">
        <f aca="false">AC8*(1+INDEX('Green Street National'!$C:$C,MATCH(2021,'Green Street National'!$A:$A,0)))</f>
        <v>93.1790698234918</v>
      </c>
      <c r="AE9" s="24" t="str">
        <f aca="false">IF(N(L8)=0,"",TEXT(L9/L8-1,"+0%;-0%"))</f>
        <v>+2%</v>
      </c>
      <c r="AF9" s="24" t="str">
        <f aca="false">IF(N(N8)=0,"",TEXT(N9/N8-1,"+0%;-0%"))</f>
        <v>+0%</v>
      </c>
    </row>
    <row r="10" customFormat="false" ht="15" hidden="false" customHeight="true" outlineLevel="0" collapsed="false">
      <c r="A10" s="22" t="n">
        <v>2022</v>
      </c>
      <c r="B10" s="14" t="n">
        <f aca="false">'CUZ Final'!Z11</f>
        <v>0.0860153647420225</v>
      </c>
      <c r="C10" s="14" t="n">
        <f aca="false">'CUZ Final'!Y11</f>
        <v>0.0388</v>
      </c>
      <c r="D10" s="14" t="n">
        <f aca="false">B10-C10</f>
        <v>0.0472153647420225</v>
      </c>
      <c r="E10" s="14" t="n">
        <f aca="false">'CUZ Final'!AA11</f>
        <v>0.125072932608357</v>
      </c>
      <c r="F10" s="14" t="n">
        <f aca="false">E10-B10</f>
        <v>0.039057567866335</v>
      </c>
      <c r="G10" s="14" t="n">
        <f aca="false">INDEX('CoStar - US Office'!$B:$B,MATCH(2022,'CoStar - US Office'!$A:$A,0))</f>
        <v>0.123824681505529</v>
      </c>
      <c r="H10" s="14" t="n">
        <f aca="false">INDEX('CoStar - US Office'!$E:$E,MATCH(2022,'CoStar - US Office'!$A:$A,0))</f>
        <v>0.0187735469192038</v>
      </c>
      <c r="I10" s="14" t="n">
        <f aca="false">INDEX('CoStar - US Office'!$H:$H,MATCH(2022,'CoStar - US Office'!$A:$A,0))</f>
        <v>0.00478830885082243</v>
      </c>
      <c r="J10" s="15" t="n">
        <f aca="false">'CUZ Final'!AB11</f>
        <v>11.625829908403</v>
      </c>
      <c r="K10" s="15" t="n">
        <f aca="false">'CUZ Final'!AC11</f>
        <v>7.99533503488971</v>
      </c>
      <c r="L10" s="9" t="n">
        <f aca="false">'CUZ Final'!B11</f>
        <v>502.2</v>
      </c>
      <c r="M10" s="9" t="n">
        <f aca="false">'CUZ Final'!Q11</f>
        <v>5838.49178</v>
      </c>
      <c r="N10" s="9" t="n">
        <f aca="false">'CUZ Final'!D11</f>
        <v>427.06</v>
      </c>
      <c r="O10" s="9" t="n">
        <f aca="false">'CUZ Final'!K11</f>
        <v>3414.48778</v>
      </c>
      <c r="P10" s="14" t="n">
        <f aca="false">INDEX('Prime Rate'!$B:$B,MATCH(2022,'Prime Rate'!$A:$A,0))</f>
        <v>0.0485</v>
      </c>
      <c r="Q10" s="9" t="n">
        <f aca="false">M10-L10</f>
        <v>5336.29178</v>
      </c>
      <c r="R10" s="9" t="n">
        <f aca="false">O10-N10</f>
        <v>2987.42778</v>
      </c>
      <c r="S10" s="23" t="n">
        <f aca="false">INDEX(Inflation!$G:$G,MATCH(2022,Inflation!$A:$A,0))</f>
        <v>0.0799083303502561</v>
      </c>
      <c r="T10" s="14" t="n">
        <f aca="false">INDEX('Green Street National'!$D:$D,MATCH(2022,'Green Street National'!$A:$A,0))</f>
        <v>0.07948753</v>
      </c>
      <c r="U10" s="9" t="n">
        <f aca="false">INDEX('Green Street National'!$F:$F,MATCH(2022,'Green Street National'!$A:$A,0))</f>
        <v>75.3039532955945</v>
      </c>
      <c r="V10" s="9" t="n">
        <f aca="false">INDEX(Inflation!$D:$D,MATCH(2022,Inflation!$A:$A,0))</f>
        <v>144.713064056365</v>
      </c>
      <c r="W10" s="9" t="n">
        <f aca="false">INDEX(Inflation!$E:$E,MATCH(2022,Inflation!$A:$A,0))</f>
        <v>121.924959896669</v>
      </c>
      <c r="X10" s="9" t="n">
        <f aca="false">INDEX('CoStar - US Office'!$G:$G,MATCH(2022,'CoStar - US Office'!$A:$A,0))</f>
        <v>110.5199236759</v>
      </c>
      <c r="Y10" s="23" t="n">
        <f aca="false">INDEX('Green Street National'!$C:$C,MATCH(2022,'Green Street National'!$A:$A,0))</f>
        <v>-0.03718453</v>
      </c>
      <c r="Z10" s="23" t="n">
        <f aca="false">INDEX('CoStar - US Office'!$D:$D,MATCH(2022,'CoStar - US Office'!$A:$A,0))</f>
        <v>-0.00564493679675804</v>
      </c>
      <c r="AA10" s="9" t="n">
        <f aca="false">INDEX('CoStar - US Office'!$F:$F,MATCH(2022,'CoStar - US Office'!$A:$A,0))</f>
        <v>34.9589096868985</v>
      </c>
      <c r="AB10" s="23" t="n">
        <f aca="false">INDEX('CoStar - US Office'!$C:$C,MATCH(2022,'CoStar - US Office'!$A:$A,0))</f>
        <v>0.876175318494471</v>
      </c>
      <c r="AC10" s="9" t="n">
        <f aca="false">AC9*(1+INDEX('Green Street National'!$C:$C,MATCH(2022,'Green Street National'!$A:$A,0)))</f>
        <v>89.7142499062681</v>
      </c>
      <c r="AE10" s="24" t="str">
        <f aca="false">IF(N(L9)=0,"",TEXT(L10/L9-1,"+0%;-0%"))</f>
        <v>+2%</v>
      </c>
      <c r="AF10" s="24" t="str">
        <f aca="false">IF(N(N9)=0,"",TEXT(N10/N9-1,"+0%;-0%"))</f>
        <v>+1%</v>
      </c>
    </row>
    <row r="11" customFormat="false" ht="15" hidden="false" customHeight="true" outlineLevel="0" collapsed="false">
      <c r="A11" s="22" t="n">
        <v>2023</v>
      </c>
      <c r="B11" s="14" t="n">
        <f aca="false">'CUZ Final'!Z10</f>
        <v>0.0917135436790211</v>
      </c>
      <c r="C11" s="14" t="n">
        <f aca="false">'CUZ Final'!Y10</f>
        <v>0.0388</v>
      </c>
      <c r="D11" s="14" t="n">
        <f aca="false">B11-C11</f>
        <v>0.0529135436790211</v>
      </c>
      <c r="E11" s="14" t="n">
        <f aca="false">'CUZ Final'!AA10</f>
        <v>0.133230512875016</v>
      </c>
      <c r="F11" s="14" t="n">
        <f aca="false">E11-B11</f>
        <v>0.041516969195995</v>
      </c>
      <c r="G11" s="14" t="n">
        <f aca="false">INDEX('CoStar - US Office'!$B:$B,MATCH(2023,'CoStar - US Office'!$A:$A,0))</f>
        <v>0.134795325216733</v>
      </c>
      <c r="H11" s="14" t="n">
        <f aca="false">INDEX('CoStar - US Office'!$E:$E,MATCH(2023,'CoStar - US Office'!$A:$A,0))</f>
        <v>0.0103504011943532</v>
      </c>
      <c r="I11" s="14" t="n">
        <f aca="false">INDEX('CoStar - US Office'!$H:$H,MATCH(2023,'CoStar - US Office'!$A:$A,0))</f>
        <v>0.00346617437648096</v>
      </c>
      <c r="J11" s="15" t="n">
        <f aca="false">'CUZ Final'!AB10</f>
        <v>10.9035150086425</v>
      </c>
      <c r="K11" s="15" t="n">
        <f aca="false">'CUZ Final'!AC10</f>
        <v>7.50578811430459</v>
      </c>
      <c r="L11" s="9" t="n">
        <f aca="false">'CUZ Final'!B10</f>
        <v>531.094</v>
      </c>
      <c r="M11" s="9" t="n">
        <f aca="false">'CUZ Final'!Q10</f>
        <v>5790.7914</v>
      </c>
      <c r="N11" s="9" t="n">
        <f aca="false">'CUZ Final'!D10</f>
        <v>423.955</v>
      </c>
      <c r="O11" s="9" t="n">
        <f aca="false">'CUZ Final'!K10</f>
        <v>3182.1164</v>
      </c>
      <c r="P11" s="14" t="n">
        <f aca="false">INDEX('Prime Rate'!$B:$B,MATCH(2023,'Prime Rate'!$A:$A,0))</f>
        <v>0.0819</v>
      </c>
      <c r="Q11" s="9" t="n">
        <f aca="false">M11-L11</f>
        <v>5259.6974</v>
      </c>
      <c r="R11" s="9" t="n">
        <f aca="false">O11-N11</f>
        <v>2758.1614</v>
      </c>
      <c r="S11" s="23" t="n">
        <f aca="false">INDEX(Inflation!$G:$G,MATCH(2023,Inflation!$A:$A,0))</f>
        <v>0.0412711105643382</v>
      </c>
      <c r="T11" s="14" t="n">
        <f aca="false">INDEX('Green Street National'!$D:$D,MATCH(2023,'Green Street National'!$A:$A,0))</f>
        <v>0.10690485</v>
      </c>
      <c r="U11" s="9" t="n">
        <f aca="false">INDEX('Green Street National'!$F:$F,MATCH(2023,'Green Street National'!$A:$A,0))</f>
        <v>44.7050530590909</v>
      </c>
      <c r="V11" s="9" t="n">
        <f aca="false">INDEX(Inflation!$D:$D,MATCH(2023,Inflation!$A:$A,0))</f>
        <v>156.117893831012</v>
      </c>
      <c r="W11" s="9" t="n">
        <f aca="false">INDEX(Inflation!$E:$E,MATCH(2023,Inflation!$A:$A,0))</f>
        <v>126.956938397117</v>
      </c>
      <c r="X11" s="9" t="n">
        <f aca="false">INDEX('CoStar - US Office'!$G:$G,MATCH(2023,'CoStar - US Office'!$A:$A,0))</f>
        <v>111.663849225915</v>
      </c>
      <c r="Y11" s="23" t="n">
        <f aca="false">INDEX('Green Street National'!$C:$C,MATCH(2023,'Green Street National'!$A:$A,0))</f>
        <v>-0.05284114</v>
      </c>
      <c r="Z11" s="23" t="n">
        <f aca="false">INDEX('CoStar - US Office'!$D:$D,MATCH(2023,'CoStar - US Office'!$A:$A,0))</f>
        <v>-0.0109706437112039</v>
      </c>
      <c r="AA11" s="9" t="n">
        <f aca="false">INDEX('CoStar - US Office'!$F:$F,MATCH(2023,'CoStar - US Office'!$A:$A,0))</f>
        <v>35.3207484274751</v>
      </c>
      <c r="AB11" s="23" t="n">
        <f aca="false">INDEX('CoStar - US Office'!$C:$C,MATCH(2023,'CoStar - US Office'!$A:$A,0))</f>
        <v>0.865204674783267</v>
      </c>
      <c r="AC11" s="9" t="n">
        <f aca="false">AC10*(1+INDEX('Green Street National'!$C:$C,MATCH(2023,'Green Street National'!$A:$A,0)))</f>
        <v>84.973646666976</v>
      </c>
      <c r="AE11" s="24" t="str">
        <f aca="false">IF(N(L10)=0,"",TEXT(L11/L10-1,"+0%;-0%"))</f>
        <v>+6%</v>
      </c>
      <c r="AF11" s="24" t="str">
        <f aca="false">IF(N(N10)=0,"",TEXT(N11/N10-1,"+0%;-0%"))</f>
        <v>-1%</v>
      </c>
    </row>
    <row r="12" customFormat="false" ht="15" hidden="false" customHeight="true" outlineLevel="0" collapsed="false">
      <c r="A12" s="22" t="n">
        <v>2024</v>
      </c>
      <c r="B12" s="14" t="n">
        <f aca="false">'CUZ Final'!Z9</f>
        <v>0.0726187014967787</v>
      </c>
      <c r="C12" s="14" t="n">
        <f aca="false">'CUZ Final'!Y9</f>
        <v>0.0458</v>
      </c>
      <c r="D12" s="14" t="n">
        <f aca="false">B12-C12</f>
        <v>0.0268187014967787</v>
      </c>
      <c r="E12" s="14" t="n">
        <f aca="false">'CUZ Final'!AA9</f>
        <v>0.0968193463294343</v>
      </c>
      <c r="F12" s="14" t="n">
        <f aca="false">E12-B12</f>
        <v>0.0242006448326556</v>
      </c>
      <c r="G12" s="14" t="n">
        <f aca="false">INDEX('CoStar - US Office'!$B:$B,MATCH(2024,'CoStar - US Office'!$A:$A,0))</f>
        <v>0.139554020907488</v>
      </c>
      <c r="H12" s="14" t="n">
        <f aca="false">INDEX('CoStar - US Office'!$E:$E,MATCH(2024,'CoStar - US Office'!$A:$A,0))</f>
        <v>0.019598676299831</v>
      </c>
      <c r="I12" s="14" t="n">
        <f aca="false">INDEX('CoStar - US Office'!$H:$H,MATCH(2024,'CoStar - US Office'!$A:$A,0))</f>
        <v>0.00153700761683326</v>
      </c>
      <c r="J12" s="15" t="n">
        <f aca="false">'CUZ Final'!AB9</f>
        <v>13.7705574375267</v>
      </c>
      <c r="K12" s="15" t="n">
        <f aca="false">'CUZ Final'!AC9</f>
        <v>10.328514268186</v>
      </c>
      <c r="L12" s="9" t="n">
        <f aca="false">'CUZ Final'!B9</f>
        <v>570.324</v>
      </c>
      <c r="M12" s="9" t="n">
        <f aca="false">'CUZ Final'!Q9</f>
        <v>7853.6794</v>
      </c>
      <c r="N12" s="9" t="n">
        <f aca="false">'CUZ Final'!D9</f>
        <v>443.364</v>
      </c>
      <c r="O12" s="9" t="n">
        <f aca="false">'CUZ Final'!K9</f>
        <v>4579.2914</v>
      </c>
      <c r="P12" s="14" t="n">
        <f aca="false">INDEX('Prime Rate'!$B:$B,MATCH(2024,'Prime Rate'!$A:$A,0))</f>
        <v>0.0831</v>
      </c>
      <c r="Q12" s="9" t="n">
        <f aca="false">M12-L12</f>
        <v>7283.3554</v>
      </c>
      <c r="R12" s="9" t="n">
        <f aca="false">O12-N12</f>
        <v>4135.9274</v>
      </c>
      <c r="S12" s="23" t="n">
        <f aca="false">INDEX(Inflation!$G:$G,MATCH(2024,Inflation!$A:$A,0))</f>
        <v>0.0295205495187116</v>
      </c>
      <c r="T12" s="14" t="n">
        <f aca="false">INDEX('Green Street National'!$D:$D,MATCH(2024,'Green Street National'!$A:$A,0))</f>
        <v>0.10737802</v>
      </c>
      <c r="U12" s="9" t="n">
        <f aca="false">INDEX('Green Street National'!$F:$F,MATCH(2024,'Green Street National'!$A:$A,0))</f>
        <v>43.6731644078836</v>
      </c>
      <c r="V12" s="9" t="n">
        <f aca="false">INDEX(Inflation!$D:$D,MATCH(2024,Inflation!$A:$A,0))</f>
        <v>156.281037666505</v>
      </c>
      <c r="W12" s="9" t="n">
        <f aca="false">INDEX(Inflation!$E:$E,MATCH(2024,Inflation!$A:$A,0))</f>
        <v>130.704776983813</v>
      </c>
      <c r="X12" s="9" t="n">
        <f aca="false">INDEX('CoStar - US Office'!$G:$G,MATCH(2024,'CoStar - US Office'!$A:$A,0))</f>
        <v>113.852312861286</v>
      </c>
      <c r="Y12" s="23" t="n">
        <f aca="false">INDEX('Green Street National'!$C:$C,MATCH(2024,'Green Street National'!$A:$A,0))</f>
        <v>-0.01855455</v>
      </c>
      <c r="Z12" s="23" t="n">
        <f aca="false">INDEX('CoStar - US Office'!$D:$D,MATCH(2024,'CoStar - US Office'!$A:$A,0))</f>
        <v>-0.00475869569075504</v>
      </c>
      <c r="AA12" s="9" t="n">
        <f aca="false">INDEX('CoStar - US Office'!$F:$F,MATCH(2024,'CoStar - US Office'!$A:$A,0))</f>
        <v>36.0129883425729</v>
      </c>
      <c r="AB12" s="23" t="n">
        <f aca="false">INDEX('CoStar - US Office'!$C:$C,MATCH(2024,'CoStar - US Office'!$A:$A,0))</f>
        <v>0.860445979092512</v>
      </c>
      <c r="AC12" s="9" t="n">
        <f aca="false">AC11*(1+INDEX('Green Street National'!$C:$C,MATCH(2024,'Green Street National'!$A:$A,0)))</f>
        <v>83.3969988912113</v>
      </c>
      <c r="AE12" s="24" t="str">
        <f aca="false">IF(N(L11)=0,"",TEXT(L12/L11-1,"+0%;-0%"))</f>
        <v>+7%</v>
      </c>
      <c r="AF12" s="24" t="str">
        <f aca="false">IF(N(N11)=0,"",TEXT(N12/N11-1,"+0%;-0%"))</f>
        <v>+5%</v>
      </c>
    </row>
    <row r="13" customFormat="false" ht="15" hidden="false" customHeight="true" outlineLevel="0" collapsed="false">
      <c r="A13" s="22" t="n">
        <v>2025</v>
      </c>
      <c r="B13" s="14" t="n">
        <f aca="false">'CUZ Final'!Z8</f>
        <v>0.0910996505572995</v>
      </c>
      <c r="C13" s="14" t="n">
        <f aca="false">'CUZ Final'!Y8</f>
        <v>0.0418</v>
      </c>
      <c r="D13" s="14" t="n">
        <f aca="false">B13-C13</f>
        <v>0.0492996505572995</v>
      </c>
      <c r="E13" s="14" t="n">
        <f aca="false">'CUZ Final'!AA8</f>
        <v>0.12985939426595</v>
      </c>
      <c r="F13" s="14" t="n">
        <f aca="false">E13-B13</f>
        <v>0.0387597437086508</v>
      </c>
      <c r="G13" s="14" t="n">
        <f aca="false">INDEX('CoStar - US Office'!$B:$B,MATCH(2025,'CoStar - US Office'!$A:$A,0))</f>
        <v>0.140381422408093</v>
      </c>
      <c r="H13" s="14" t="n">
        <f aca="false">INDEX('CoStar - US Office'!$E:$E,MATCH(2025,'CoStar - US Office'!$A:$A,0))</f>
        <v>0.0206668157739647</v>
      </c>
      <c r="I13" s="14" t="n">
        <f aca="false">INDEX('CoStar - US Office'!$H:$H,MATCH(2025,'CoStar - US Office'!$A:$A,0))</f>
        <v>-0.00016404557269249</v>
      </c>
      <c r="J13" s="15" t="n">
        <f aca="false">'CUZ Final'!AB8</f>
        <v>10.9769905140418</v>
      </c>
      <c r="K13" s="15" t="n">
        <f aca="false">'CUZ Final'!AC8</f>
        <v>7.70063656659304</v>
      </c>
      <c r="L13" s="9" t="n">
        <f aca="false">'CUZ Final'!B8</f>
        <v>673.311</v>
      </c>
      <c r="M13" s="9" t="n">
        <f aca="false">'CUZ Final'!Q8</f>
        <v>7390.92846</v>
      </c>
      <c r="N13" s="9" t="n">
        <f aca="false">'CUZ Final'!D8</f>
        <v>504.362</v>
      </c>
      <c r="O13" s="9" t="n">
        <f aca="false">'CUZ Final'!K8</f>
        <v>3883.90846</v>
      </c>
      <c r="P13" s="14" t="n">
        <f aca="false">INDEX('Prime Rate'!$B:$B,MATCH(2025,'Prime Rate'!$A:$A,0))</f>
        <v>0.0737</v>
      </c>
      <c r="Q13" s="9" t="n">
        <f aca="false">M13-L13</f>
        <v>6717.61746</v>
      </c>
      <c r="R13" s="9" t="n">
        <f aca="false">O13-N13</f>
        <v>3379.54646</v>
      </c>
      <c r="S13" s="23" t="n">
        <f aca="false">INDEX(Inflation!$G:$G,MATCH(2025,Inflation!$A:$A,0))</f>
        <v>0.0263438083762091</v>
      </c>
      <c r="T13" s="14" t="n">
        <f aca="false">INDEX('Green Street National'!$D:$D,MATCH(2025,'Green Street National'!$A:$A,0))</f>
        <v>0.1048993</v>
      </c>
      <c r="U13" s="9" t="n">
        <f aca="false">INDEX('Green Street National'!$F:$F,MATCH(2025,'Green Street National'!$A:$A,0))</f>
        <v>44.169712307612</v>
      </c>
      <c r="V13" s="9" t="n">
        <f aca="false">INDEX(Inflation!$D:$D,MATCH(2025,Inflation!$A:$A,0))</f>
        <v>158.821420247764</v>
      </c>
      <c r="W13" s="9" t="n">
        <f aca="false">INDEX(Inflation!$E:$E,MATCH(2025,Inflation!$A:$A,0))</f>
        <v>134.14803858253</v>
      </c>
      <c r="X13" s="9" t="n">
        <f aca="false">INDEX('CoStar - US Office'!$G:$G,MATCH(2025,'CoStar - US Office'!$A:$A,0))</f>
        <v>116.20527763663</v>
      </c>
      <c r="Y13" s="23" t="n">
        <f aca="false">INDEX('Green Street National'!$C:$C,MATCH(2025,'Green Street National'!$A:$A,0))</f>
        <v>0.00073864</v>
      </c>
      <c r="Z13" s="23" t="n">
        <f aca="false">INDEX('CoStar - US Office'!$D:$D,MATCH(2025,'CoStar - US Office'!$A:$A,0))</f>
        <v>-0.000827401500605007</v>
      </c>
      <c r="AA13" s="9" t="n">
        <f aca="false">INDEX('CoStar - US Office'!$F:$F,MATCH(2025,'CoStar - US Office'!$A:$A,0))</f>
        <v>36.7572621381188</v>
      </c>
      <c r="AB13" s="23" t="n">
        <f aca="false">INDEX('CoStar - US Office'!$C:$C,MATCH(2025,'CoStar - US Office'!$A:$A,0))</f>
        <v>0.859618577591907</v>
      </c>
      <c r="AC13" s="9" t="n">
        <f aca="false">AC12*(1+INDEX('Green Street National'!$C:$C,MATCH(2025,'Green Street National'!$A:$A,0)))</f>
        <v>83.4585992504723</v>
      </c>
      <c r="AE13" s="24" t="str">
        <f aca="false">IF(N(L12)=0,"",TEXT(L13/L12-1,"+0%;-0%"))</f>
        <v>+18%</v>
      </c>
      <c r="AF13" s="24" t="str">
        <f aca="false">IF(N(N12)=0,"",TEXT(N13/N12-1,"+0%;-0%"))</f>
        <v>+14%</v>
      </c>
    </row>
    <row r="15" customFormat="false" ht="15" hidden="false" customHeight="true" outlineLevel="0" collapsed="false">
      <c r="A15" s="6" t="s">
        <v>535</v>
      </c>
    </row>
    <row r="16" customFormat="false" ht="15" hidden="false" customHeight="true" outlineLevel="0" collapsed="false">
      <c r="A16" s="18" t="s">
        <v>599</v>
      </c>
    </row>
    <row r="17" customFormat="false" ht="15" hidden="false" customHeight="true" outlineLevel="0" collapsed="false">
      <c r="A17" s="18" t="s">
        <v>537</v>
      </c>
    </row>
    <row r="18" customFormat="false" ht="15" hidden="false" customHeight="true" outlineLevel="0" collapsed="false">
      <c r="A18" s="18" t="s">
        <v>538</v>
      </c>
    </row>
    <row r="19" customFormat="false" ht="15" hidden="false" customHeight="true" outlineLevel="0" collapsed="false">
      <c r="A19" s="18" t="s">
        <v>600</v>
      </c>
    </row>
    <row r="20" customFormat="false" ht="15" hidden="false" customHeight="true" outlineLevel="0" collapsed="false">
      <c r="A20" s="18" t="s">
        <v>540</v>
      </c>
    </row>
    <row r="21" customFormat="false" ht="15" hidden="false" customHeight="true" outlineLevel="0" collapsed="false">
      <c r="A21" s="18" t="s">
        <v>541</v>
      </c>
    </row>
    <row r="22" customFormat="false" ht="15" hidden="false" customHeight="true" outlineLevel="0" collapsed="false">
      <c r="A22" s="18" t="s">
        <v>542</v>
      </c>
    </row>
    <row r="23" customFormat="false" ht="15" hidden="false" customHeight="true" outlineLevel="0" collapsed="false">
      <c r="A23" s="18" t="s">
        <v>543</v>
      </c>
    </row>
    <row r="24" customFormat="false" ht="15" hidden="false" customHeight="true" outlineLevel="0" collapsed="false">
      <c r="A24" s="18" t="s">
        <v>544</v>
      </c>
    </row>
    <row r="25" customFormat="false" ht="15" hidden="false" customHeight="true" outlineLevel="0" collapsed="false">
      <c r="A25" s="18" t="s">
        <v>545</v>
      </c>
    </row>
    <row r="26" customFormat="false" ht="15" hidden="false" customHeight="true" outlineLevel="0" collapsed="false">
      <c r="A26" s="18" t="s">
        <v>601</v>
      </c>
    </row>
    <row r="27" customFormat="false" ht="15" hidden="false" customHeight="true" outlineLevel="0" collapsed="false">
      <c r="A27" s="18" t="s">
        <v>547</v>
      </c>
    </row>
    <row r="28" customFormat="false" ht="15" hidden="false" customHeight="true" outlineLevel="0" collapsed="false">
      <c r="A28" s="18" t="s">
        <v>602</v>
      </c>
    </row>
    <row r="29" customFormat="false" ht="15" hidden="false" customHeight="true" outlineLevel="0" collapsed="false">
      <c r="A29" s="18" t="s">
        <v>549</v>
      </c>
    </row>
    <row r="30" customFormat="false" ht="15" hidden="false" customHeight="true" outlineLevel="0" collapsed="false">
      <c r="A30" s="18" t="s">
        <v>550</v>
      </c>
    </row>
    <row r="31" customFormat="false" ht="15" hidden="false" customHeight="true" outlineLevel="0" collapsed="false">
      <c r="A31" s="18" t="s">
        <v>551</v>
      </c>
    </row>
    <row r="32" customFormat="false" ht="15" hidden="false" customHeight="true" outlineLevel="0" collapsed="false">
      <c r="A32" s="18" t="s">
        <v>552</v>
      </c>
    </row>
    <row r="33" customFormat="false" ht="15" hidden="false" customHeight="true" outlineLevel="0" collapsed="false">
      <c r="A33" s="18" t="s">
        <v>553</v>
      </c>
    </row>
    <row r="34" customFormat="false" ht="15" hidden="false" customHeight="true" outlineLevel="0" collapsed="false">
      <c r="A34" s="18" t="s">
        <v>554</v>
      </c>
    </row>
    <row r="35" customFormat="false" ht="15" hidden="false" customHeight="true" outlineLevel="0" collapsed="false">
      <c r="A35" s="18" t="s">
        <v>555</v>
      </c>
    </row>
    <row r="36" customFormat="false" ht="15" hidden="false" customHeight="true" outlineLevel="0" collapsed="false">
      <c r="A36" s="18" t="s">
        <v>556</v>
      </c>
    </row>
    <row r="37" customFormat="false" ht="15" hidden="false" customHeight="true" outlineLevel="0" collapsed="false">
      <c r="A37" s="18" t="s">
        <v>557</v>
      </c>
    </row>
    <row r="38" customFormat="false" ht="15" hidden="false" customHeight="true" outlineLevel="0" collapsed="false">
      <c r="A38" s="18" t="s">
        <v>558</v>
      </c>
    </row>
    <row r="39" customFormat="false" ht="15" hidden="false" customHeight="true" outlineLevel="0" collapsed="false">
      <c r="A39" s="18" t="s">
        <v>559</v>
      </c>
    </row>
    <row r="40" customFormat="false" ht="15" hidden="false" customHeight="true" outlineLevel="0" collapsed="false">
      <c r="A40" s="18" t="s">
        <v>560</v>
      </c>
    </row>
    <row r="41" customFormat="false" ht="15" hidden="false" customHeight="true" outlineLevel="0" collapsed="false">
      <c r="A41" s="18" t="s">
        <v>561</v>
      </c>
    </row>
    <row r="42" customFormat="false" ht="15" hidden="false" customHeight="true" outlineLevel="0" collapsed="false">
      <c r="A42" s="18" t="s">
        <v>562</v>
      </c>
    </row>
    <row r="43" customFormat="false" ht="15" hidden="false" customHeight="true" outlineLevel="0" collapsed="false">
      <c r="A43" s="18" t="s">
        <v>563</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Z2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1" ySplit="7" topLeftCell="B8" activePane="bottomRight" state="frozen"/>
      <selection pane="topLeft" activeCell="A1" activeCellId="0" sqref="A1"/>
      <selection pane="topRight" activeCell="B1" activeCellId="0" sqref="B1"/>
      <selection pane="bottomLeft" activeCell="A8" activeCellId="0" sqref="A8"/>
      <selection pane="bottomRight" activeCell="A1" activeCellId="0" sqref="A1"/>
    </sheetView>
  </sheetViews>
  <sheetFormatPr defaultColWidth="8.6796875" defaultRowHeight="15" zeroHeight="false" outlineLevelRow="0" outlineLevelCol="0"/>
  <cols>
    <col collapsed="false" customWidth="true" hidden="false" outlineLevel="0" max="52" min="1" style="1" width="15"/>
  </cols>
  <sheetData>
    <row r="1" customFormat="false" ht="15" hidden="false" customHeight="true" outlineLevel="0" collapsed="false">
      <c r="A1" s="4" t="s">
        <v>603</v>
      </c>
    </row>
    <row r="3" customFormat="false" ht="15" hidden="false" customHeight="true" outlineLevel="0" collapsed="false">
      <c r="A3" s="18" t="s">
        <v>604</v>
      </c>
    </row>
    <row r="4" customFormat="false" ht="15" hidden="false" customHeight="true" outlineLevel="0" collapsed="false">
      <c r="A4" s="6" t="s">
        <v>395</v>
      </c>
    </row>
    <row r="6" customFormat="false" ht="15" hidden="false" customHeight="true" outlineLevel="0" collapsed="false">
      <c r="B6" s="2" t="s">
        <v>566</v>
      </c>
      <c r="C6" s="2" t="s">
        <v>399</v>
      </c>
      <c r="D6" s="2" t="s">
        <v>398</v>
      </c>
      <c r="E6" s="2" t="s">
        <v>399</v>
      </c>
      <c r="F6" s="2" t="s">
        <v>399</v>
      </c>
      <c r="G6" s="2" t="s">
        <v>398</v>
      </c>
      <c r="H6" s="2" t="s">
        <v>404</v>
      </c>
      <c r="I6" s="2" t="s">
        <v>566</v>
      </c>
      <c r="J6" s="2" t="s">
        <v>398</v>
      </c>
      <c r="K6" s="2" t="s">
        <v>398</v>
      </c>
      <c r="L6" s="2" t="s">
        <v>399</v>
      </c>
      <c r="M6" s="2" t="s">
        <v>399</v>
      </c>
      <c r="N6" s="2" t="s">
        <v>399</v>
      </c>
      <c r="O6" s="2" t="s">
        <v>398</v>
      </c>
      <c r="P6" s="2" t="s">
        <v>398</v>
      </c>
      <c r="Q6" s="2" t="s">
        <v>398</v>
      </c>
      <c r="R6" s="2" t="s">
        <v>566</v>
      </c>
      <c r="S6" s="2" t="s">
        <v>399</v>
      </c>
      <c r="T6" s="2" t="s">
        <v>399</v>
      </c>
      <c r="U6" s="2" t="s">
        <v>398</v>
      </c>
      <c r="V6" s="2" t="s">
        <v>398</v>
      </c>
      <c r="W6" s="2" t="s">
        <v>401</v>
      </c>
      <c r="X6" s="2" t="s">
        <v>605</v>
      </c>
      <c r="Y6" s="2" t="s">
        <v>478</v>
      </c>
      <c r="Z6" s="2" t="s">
        <v>398</v>
      </c>
      <c r="AA6" s="2" t="s">
        <v>398</v>
      </c>
      <c r="AB6" s="2" t="s">
        <v>398</v>
      </c>
      <c r="AC6" s="2" t="s">
        <v>398</v>
      </c>
      <c r="AD6" s="2" t="s">
        <v>606</v>
      </c>
      <c r="AE6" s="2" t="s">
        <v>566</v>
      </c>
      <c r="AF6" s="2" t="s">
        <v>480</v>
      </c>
      <c r="AG6" s="2" t="s">
        <v>480</v>
      </c>
      <c r="AI6" s="2" t="s">
        <v>399</v>
      </c>
      <c r="AJ6" s="2" t="s">
        <v>399</v>
      </c>
      <c r="AK6" s="2" t="s">
        <v>399</v>
      </c>
      <c r="AL6" s="2" t="s">
        <v>399</v>
      </c>
      <c r="AM6" s="2" t="s">
        <v>399</v>
      </c>
      <c r="AN6" s="2" t="s">
        <v>399</v>
      </c>
      <c r="AO6" s="2" t="s">
        <v>404</v>
      </c>
      <c r="AP6" s="2" t="s">
        <v>399</v>
      </c>
      <c r="AQ6" s="2" t="s">
        <v>401</v>
      </c>
      <c r="AR6" s="2" t="s">
        <v>402</v>
      </c>
      <c r="AS6" s="2" t="s">
        <v>399</v>
      </c>
      <c r="AT6" s="2" t="s">
        <v>399</v>
      </c>
      <c r="AU6" s="2" t="s">
        <v>399</v>
      </c>
      <c r="AV6" s="2" t="s">
        <v>399</v>
      </c>
      <c r="AW6" s="2" t="s">
        <v>399</v>
      </c>
      <c r="AX6" s="2" t="s">
        <v>399</v>
      </c>
      <c r="AY6" s="2" t="s">
        <v>398</v>
      </c>
      <c r="AZ6" s="2" t="s">
        <v>398</v>
      </c>
    </row>
    <row r="7" customFormat="false" ht="53.25" hidden="false" customHeight="true" outlineLevel="0" collapsed="false">
      <c r="A7" s="8" t="s">
        <v>405</v>
      </c>
      <c r="B7" s="8" t="s">
        <v>481</v>
      </c>
      <c r="C7" s="8" t="s">
        <v>482</v>
      </c>
      <c r="D7" s="8" t="s">
        <v>408</v>
      </c>
      <c r="E7" s="8" t="s">
        <v>409</v>
      </c>
      <c r="F7" s="8" t="s">
        <v>483</v>
      </c>
      <c r="G7" s="8" t="s">
        <v>484</v>
      </c>
      <c r="H7" s="8" t="s">
        <v>485</v>
      </c>
      <c r="I7" s="8" t="s">
        <v>486</v>
      </c>
      <c r="J7" s="8" t="s">
        <v>414</v>
      </c>
      <c r="K7" s="8" t="s">
        <v>415</v>
      </c>
      <c r="L7" s="8" t="s">
        <v>487</v>
      </c>
      <c r="M7" s="8" t="s">
        <v>488</v>
      </c>
      <c r="N7" s="8" t="s">
        <v>418</v>
      </c>
      <c r="O7" s="8" t="s">
        <v>489</v>
      </c>
      <c r="P7" s="8" t="s">
        <v>423</v>
      </c>
      <c r="Q7" s="8" t="s">
        <v>424</v>
      </c>
      <c r="R7" s="8" t="s">
        <v>490</v>
      </c>
      <c r="S7" s="8" t="s">
        <v>491</v>
      </c>
      <c r="T7" s="8" t="s">
        <v>492</v>
      </c>
      <c r="U7" s="8" t="s">
        <v>493</v>
      </c>
      <c r="V7" s="8" t="s">
        <v>429</v>
      </c>
      <c r="W7" s="8" t="s">
        <v>430</v>
      </c>
      <c r="X7" s="8" t="s">
        <v>494</v>
      </c>
      <c r="Y7" s="8" t="s">
        <v>432</v>
      </c>
      <c r="Z7" s="8" t="s">
        <v>433</v>
      </c>
      <c r="AA7" s="8" t="s">
        <v>434</v>
      </c>
      <c r="AB7" s="8" t="s">
        <v>435</v>
      </c>
      <c r="AC7" s="8" t="s">
        <v>436</v>
      </c>
      <c r="AD7" s="8" t="s">
        <v>495</v>
      </c>
      <c r="AE7" s="8" t="s">
        <v>496</v>
      </c>
      <c r="AF7" s="8" t="s">
        <v>497</v>
      </c>
      <c r="AG7" s="8" t="s">
        <v>498</v>
      </c>
      <c r="AI7" s="8" t="s">
        <v>607</v>
      </c>
      <c r="AJ7" s="8" t="s">
        <v>608</v>
      </c>
      <c r="AK7" s="8" t="s">
        <v>609</v>
      </c>
      <c r="AL7" s="8" t="s">
        <v>610</v>
      </c>
      <c r="AM7" s="8" t="s">
        <v>611</v>
      </c>
      <c r="AN7" s="8" t="s">
        <v>612</v>
      </c>
      <c r="AO7" s="8" t="s">
        <v>613</v>
      </c>
      <c r="AP7" s="8" t="s">
        <v>614</v>
      </c>
      <c r="AQ7" s="8" t="s">
        <v>574</v>
      </c>
      <c r="AR7" s="8" t="s">
        <v>615</v>
      </c>
      <c r="AS7" s="8" t="s">
        <v>616</v>
      </c>
      <c r="AT7" s="8" t="s">
        <v>617</v>
      </c>
      <c r="AU7" s="8" t="s">
        <v>618</v>
      </c>
      <c r="AV7" s="8" t="s">
        <v>619</v>
      </c>
      <c r="AW7" s="8" t="s">
        <v>620</v>
      </c>
      <c r="AX7" s="8" t="s">
        <v>621</v>
      </c>
      <c r="AY7" s="8" t="s">
        <v>448</v>
      </c>
      <c r="AZ7" s="8" t="s">
        <v>450</v>
      </c>
    </row>
    <row r="8" customFormat="false" ht="15" hidden="false" customHeight="true" outlineLevel="0" collapsed="false">
      <c r="A8" s="6" t="s">
        <v>452</v>
      </c>
      <c r="B8" s="9" t="n">
        <f aca="false">(AI8-AJ8)/1000</f>
        <v>544.739</v>
      </c>
      <c r="C8" s="9" t="n">
        <f aca="false">AK8/1000</f>
        <v>152.433</v>
      </c>
      <c r="D8" s="9" t="n">
        <f aca="false">B8-C8</f>
        <v>392.306</v>
      </c>
      <c r="E8" s="10" t="n">
        <v>25.82</v>
      </c>
      <c r="F8" s="19" t="n">
        <f aca="false">AS8/1000</f>
        <v>111.949</v>
      </c>
      <c r="G8" s="9" t="n">
        <f aca="false">E8*F8</f>
        <v>2890.52318</v>
      </c>
      <c r="H8" s="9" t="n">
        <f aca="false">AO8/1000</f>
        <v>214.149</v>
      </c>
      <c r="I8" s="9" t="n">
        <f aca="false">AP8/1000</f>
        <v>391.793</v>
      </c>
      <c r="J8" s="9" t="n">
        <f aca="false">H8+I8</f>
        <v>605.942</v>
      </c>
      <c r="K8" s="9" t="n">
        <f aca="false">G8-J8</f>
        <v>2284.58118</v>
      </c>
      <c r="L8" s="9" t="n">
        <f aca="false">AU8/1000</f>
        <v>2866.745</v>
      </c>
      <c r="M8" s="9" t="n">
        <f aca="false">AV8/1000</f>
        <v>703.409</v>
      </c>
      <c r="N8" s="9" t="n">
        <f aca="false">AX8/1000</f>
        <v>26.691</v>
      </c>
      <c r="O8" s="9" t="n">
        <f aca="false">L8+M8+N8</f>
        <v>3596.845</v>
      </c>
      <c r="P8" s="9" t="n">
        <f aca="false">G8+O8</f>
        <v>6487.36818</v>
      </c>
      <c r="Q8" s="9" t="n">
        <f aca="false">K8+O8</f>
        <v>5881.42618</v>
      </c>
      <c r="R8" s="9" t="n">
        <f aca="false">AL8/1000</f>
        <v>384.978</v>
      </c>
      <c r="S8" s="9" t="n">
        <f aca="false">AM8/1000</f>
        <v>115.418</v>
      </c>
      <c r="T8" s="9" t="n">
        <f aca="false">AN8/1000</f>
        <v>29.306</v>
      </c>
      <c r="U8" s="9" t="n">
        <f aca="false">S8+T8</f>
        <v>144.724</v>
      </c>
      <c r="V8" s="9" t="n">
        <f aca="false">R8-U8</f>
        <v>240.254</v>
      </c>
      <c r="W8" s="9" t="n">
        <f aca="false">AQ8/1000</f>
        <v>359.207</v>
      </c>
      <c r="X8" s="9" t="n">
        <f aca="false">AR8/1000</f>
        <v>220.977</v>
      </c>
      <c r="Y8" s="13" t="n">
        <f aca="false">INDEX('10 YR UST'!$B:$B,MATCH(2025,'10 YR UST'!$A:$A,0))</f>
        <v>0.0418</v>
      </c>
      <c r="Z8" s="14" t="n">
        <f aca="false">B8/Q8</f>
        <v>0.092620222260445</v>
      </c>
      <c r="AA8" s="14" t="n">
        <f aca="false">D8/K8</f>
        <v>0.171719001904761</v>
      </c>
      <c r="AB8" s="15" t="n">
        <f aca="false">Q8/B8</f>
        <v>10.7967782369171</v>
      </c>
      <c r="AC8" s="15" t="n">
        <f aca="false">K8/D8</f>
        <v>5.82346734436894</v>
      </c>
      <c r="AD8" s="17" t="n">
        <v>0.154</v>
      </c>
      <c r="AE8" s="17" t="n">
        <v>0.853</v>
      </c>
      <c r="AF8" s="22" t="s">
        <v>456</v>
      </c>
      <c r="AG8" s="22" t="s">
        <v>456</v>
      </c>
      <c r="AI8" s="12" t="n">
        <v>806112</v>
      </c>
      <c r="AJ8" s="12" t="n">
        <v>261373</v>
      </c>
      <c r="AK8" s="12" t="n">
        <v>152433</v>
      </c>
      <c r="AL8" s="12" t="n">
        <v>384978</v>
      </c>
      <c r="AM8" s="12" t="n">
        <v>115418</v>
      </c>
      <c r="AN8" s="12" t="n">
        <v>29306</v>
      </c>
      <c r="AO8" s="12" t="n">
        <v>214149</v>
      </c>
      <c r="AP8" s="12" t="n">
        <v>391793</v>
      </c>
      <c r="AQ8" s="12" t="n">
        <v>359207</v>
      </c>
      <c r="AR8" s="12" t="n">
        <v>220977</v>
      </c>
      <c r="AS8" s="12" t="n">
        <v>111949</v>
      </c>
      <c r="AT8" s="12" t="n">
        <v>2890523</v>
      </c>
      <c r="AU8" s="12" t="n">
        <v>2866745</v>
      </c>
      <c r="AV8" s="12" t="n">
        <v>703409</v>
      </c>
      <c r="AW8" s="12" t="n">
        <v>3570154</v>
      </c>
      <c r="AX8" s="12" t="n">
        <v>26691</v>
      </c>
      <c r="AY8" s="9" t="n">
        <f aca="false">AU8+AV8-AW8</f>
        <v>0</v>
      </c>
      <c r="AZ8" s="9" t="n">
        <f aca="false">E8*AS8-AT8</f>
        <v>0.180000000167638</v>
      </c>
    </row>
    <row r="9" customFormat="false" ht="15" hidden="false" customHeight="true" outlineLevel="0" collapsed="false">
      <c r="A9" s="6" t="s">
        <v>453</v>
      </c>
      <c r="B9" s="9" t="n">
        <f aca="false">(AI9-AJ9)/1000</f>
        <v>553.689</v>
      </c>
      <c r="C9" s="9" t="n">
        <f aca="false">AK9/1000</f>
        <v>147.198</v>
      </c>
      <c r="D9" s="9" t="n">
        <f aca="false">B9-C9</f>
        <v>406.491</v>
      </c>
      <c r="E9" s="10" t="n">
        <v>30.58</v>
      </c>
      <c r="F9" s="19" t="n">
        <f aca="false">AS9/1000</f>
        <v>109.775</v>
      </c>
      <c r="G9" s="9" t="n">
        <f aca="false">E9*F9</f>
        <v>3356.9195</v>
      </c>
      <c r="H9" s="9" t="n">
        <f aca="false">AO9/1000</f>
        <v>221.048</v>
      </c>
      <c r="I9" s="9" t="n">
        <f aca="false">AP9/1000</f>
        <v>367.962</v>
      </c>
      <c r="J9" s="9" t="n">
        <f aca="false">H9+I9</f>
        <v>589.01</v>
      </c>
      <c r="K9" s="9" t="n">
        <f aca="false">G9-J9</f>
        <v>2767.9095</v>
      </c>
      <c r="L9" s="9" t="n">
        <f aca="false">AU9/1000</f>
        <v>2595.815</v>
      </c>
      <c r="M9" s="9" t="n">
        <f aca="false">AV9/1000</f>
        <v>712.186</v>
      </c>
      <c r="N9" s="9" t="n">
        <f aca="false">AX9/1000</f>
        <v>28.811</v>
      </c>
      <c r="O9" s="9" t="n">
        <f aca="false">L9+M9+N9</f>
        <v>3336.812</v>
      </c>
      <c r="P9" s="9" t="n">
        <f aca="false">G9+O9</f>
        <v>6693.7315</v>
      </c>
      <c r="Q9" s="9" t="n">
        <f aca="false">K9+O9</f>
        <v>6104.7215</v>
      </c>
      <c r="R9" s="9" t="n">
        <f aca="false">AL9/1000</f>
        <v>391.214</v>
      </c>
      <c r="S9" s="9" t="n">
        <f aca="false">AM9/1000</f>
        <v>105.996</v>
      </c>
      <c r="T9" s="9" t="n">
        <f aca="false">AN9/1000</f>
        <v>28.829</v>
      </c>
      <c r="U9" s="9" t="n">
        <f aca="false">S9+T9</f>
        <v>134.825</v>
      </c>
      <c r="V9" s="9" t="n">
        <f aca="false">R9-U9</f>
        <v>256.389</v>
      </c>
      <c r="W9" s="9" t="n">
        <f aca="false">AQ9/1000</f>
        <v>403.584</v>
      </c>
      <c r="X9" s="9" t="n">
        <f aca="false">AR9/1000</f>
        <v>216.654</v>
      </c>
      <c r="Y9" s="13" t="n">
        <f aca="false">INDEX('10 YR UST'!$B:$B,MATCH(2024,'10 YR UST'!$A:$A,0))</f>
        <v>0.0458</v>
      </c>
      <c r="Z9" s="14" t="n">
        <f aca="false">B9/Q9</f>
        <v>0.090698486409249</v>
      </c>
      <c r="AA9" s="14" t="n">
        <f aca="false">D9/K9</f>
        <v>0.146858486522049</v>
      </c>
      <c r="AB9" s="15" t="n">
        <f aca="false">Q9/B9</f>
        <v>11.0255423170769</v>
      </c>
      <c r="AC9" s="15" t="n">
        <f aca="false">K9/D9</f>
        <v>6.80927622013772</v>
      </c>
      <c r="AD9" s="17" t="n">
        <v>0.122</v>
      </c>
      <c r="AE9" s="17" t="n">
        <v>0.871</v>
      </c>
      <c r="AF9" s="22" t="s">
        <v>456</v>
      </c>
      <c r="AG9" s="22" t="s">
        <v>456</v>
      </c>
      <c r="AI9" s="12" t="n">
        <v>825862</v>
      </c>
      <c r="AJ9" s="12" t="n">
        <v>272173</v>
      </c>
      <c r="AK9" s="12" t="n">
        <v>147198</v>
      </c>
      <c r="AL9" s="12" t="n">
        <v>391214</v>
      </c>
      <c r="AM9" s="12" t="n">
        <v>105996</v>
      </c>
      <c r="AN9" s="12" t="n">
        <v>28829</v>
      </c>
      <c r="AO9" s="12" t="n">
        <v>221048</v>
      </c>
      <c r="AP9" s="12" t="n">
        <v>367962</v>
      </c>
      <c r="AQ9" s="12" t="n">
        <v>403584</v>
      </c>
      <c r="AR9" s="12" t="n">
        <v>216654</v>
      </c>
      <c r="AS9" s="12" t="n">
        <v>109775</v>
      </c>
      <c r="AT9" s="12" t="n">
        <v>3356920</v>
      </c>
      <c r="AU9" s="12" t="n">
        <v>2595815</v>
      </c>
      <c r="AV9" s="12" t="n">
        <v>712186</v>
      </c>
      <c r="AW9" s="12" t="n">
        <v>3308001</v>
      </c>
      <c r="AX9" s="12" t="n">
        <v>28811</v>
      </c>
      <c r="AY9" s="9" t="n">
        <f aca="false">AU9+AV9-AW9</f>
        <v>0</v>
      </c>
      <c r="AZ9" s="9" t="n">
        <f aca="false">E9*AS9-AT9</f>
        <v>-0.5</v>
      </c>
    </row>
    <row r="10" customFormat="false" ht="15" hidden="false" customHeight="true" outlineLevel="0" collapsed="false">
      <c r="A10" s="6" t="s">
        <v>454</v>
      </c>
      <c r="B10" s="9" t="n">
        <f aca="false">(AI10-AJ10)/1000</f>
        <v>565.215</v>
      </c>
      <c r="C10" s="9" t="n">
        <f aca="false">AK10/1000</f>
        <v>136.71</v>
      </c>
      <c r="D10" s="9" t="n">
        <f aca="false">B10-C10</f>
        <v>428.505</v>
      </c>
      <c r="E10" s="10" t="n">
        <v>22.96</v>
      </c>
      <c r="F10" s="19" t="n">
        <f aca="false">AS10/1000</f>
        <v>107.867</v>
      </c>
      <c r="G10" s="9" t="n">
        <f aca="false">E10*F10</f>
        <v>2476.62632</v>
      </c>
      <c r="H10" s="9" t="n">
        <f aca="false">AO10/1000</f>
        <v>227.058</v>
      </c>
      <c r="I10" s="9" t="n">
        <f aca="false">AP10/1000</f>
        <v>276.363</v>
      </c>
      <c r="J10" s="9" t="n">
        <f aca="false">H10+I10</f>
        <v>503.421</v>
      </c>
      <c r="K10" s="9" t="n">
        <f aca="false">G10-J10</f>
        <v>1973.20532</v>
      </c>
      <c r="L10" s="9" t="n">
        <f aca="false">AU10/1000</f>
        <v>2510.193</v>
      </c>
      <c r="M10" s="9" t="n">
        <f aca="false">AV10/1000</f>
        <v>720.752</v>
      </c>
      <c r="N10" s="9" t="n">
        <f aca="false">AX10/1000</f>
        <v>28.811</v>
      </c>
      <c r="O10" s="9" t="n">
        <f aca="false">L10+M10+N10</f>
        <v>3259.756</v>
      </c>
      <c r="P10" s="9" t="n">
        <f aca="false">G10+O10</f>
        <v>5736.38232</v>
      </c>
      <c r="Q10" s="9" t="n">
        <f aca="false">K10+O10</f>
        <v>5232.96132</v>
      </c>
      <c r="R10" s="9" t="n">
        <f aca="false">AL10/1000</f>
        <v>413.256</v>
      </c>
      <c r="S10" s="9" t="n">
        <f aca="false">AM10/1000</f>
        <v>94.243</v>
      </c>
      <c r="T10" s="9" t="n">
        <f aca="false">AN10/1000</f>
        <v>20.116</v>
      </c>
      <c r="U10" s="9" t="n">
        <f aca="false">S10+T10</f>
        <v>114.359</v>
      </c>
      <c r="V10" s="9" t="n">
        <f aca="false">R10-U10</f>
        <v>298.897</v>
      </c>
      <c r="W10" s="9" t="n">
        <f aca="false">AQ10/1000</f>
        <v>386.962</v>
      </c>
      <c r="X10" s="9" t="n">
        <f aca="false">AR10/1000</f>
        <v>215.534</v>
      </c>
      <c r="Y10" s="13" t="n">
        <f aca="false">INDEX('10 YR UST'!$B:$B,MATCH(2023,'10 YR UST'!$A:$A,0))</f>
        <v>0.0388</v>
      </c>
      <c r="Z10" s="14" t="n">
        <f aca="false">B10/Q10</f>
        <v>0.108010544209411</v>
      </c>
      <c r="AA10" s="14" t="n">
        <f aca="false">D10/K10</f>
        <v>0.217161891698123</v>
      </c>
      <c r="AB10" s="15" t="n">
        <f aca="false">Q10/B10</f>
        <v>9.25835535150341</v>
      </c>
      <c r="AC10" s="15" t="n">
        <f aca="false">K10/D10</f>
        <v>4.60485949988915</v>
      </c>
      <c r="AD10" s="17" t="n">
        <v>0.074</v>
      </c>
      <c r="AE10" s="17" t="n">
        <v>0.889</v>
      </c>
      <c r="AF10" s="22" t="s">
        <v>456</v>
      </c>
      <c r="AG10" s="22" t="s">
        <v>456</v>
      </c>
      <c r="AI10" s="12" t="n">
        <v>833997</v>
      </c>
      <c r="AJ10" s="12" t="n">
        <v>268782</v>
      </c>
      <c r="AK10" s="12" t="n">
        <v>136710</v>
      </c>
      <c r="AL10" s="12" t="n">
        <v>413256</v>
      </c>
      <c r="AM10" s="12" t="n">
        <v>94243</v>
      </c>
      <c r="AN10" s="12" t="n">
        <v>20116</v>
      </c>
      <c r="AO10" s="12" t="n">
        <v>227058</v>
      </c>
      <c r="AP10" s="12" t="n">
        <v>276363</v>
      </c>
      <c r="AQ10" s="12" t="n">
        <v>386962</v>
      </c>
      <c r="AR10" s="12" t="n">
        <v>215534</v>
      </c>
      <c r="AS10" s="12" t="n">
        <v>107867</v>
      </c>
      <c r="AT10" s="12" t="n">
        <v>2476626</v>
      </c>
      <c r="AU10" s="12" t="n">
        <v>2510193</v>
      </c>
      <c r="AV10" s="12" t="n">
        <v>720752</v>
      </c>
      <c r="AW10" s="12" t="n">
        <v>3230945</v>
      </c>
      <c r="AX10" s="12" t="n">
        <v>28811</v>
      </c>
      <c r="AY10" s="9" t="n">
        <f aca="false">AU10+AV10-AW10</f>
        <v>0</v>
      </c>
      <c r="AZ10" s="9" t="n">
        <f aca="false">E10*AS10-AT10</f>
        <v>0.320000000298023</v>
      </c>
    </row>
    <row r="11" customFormat="false" ht="15" hidden="false" customHeight="true" outlineLevel="0" collapsed="false">
      <c r="A11" s="6" t="s">
        <v>455</v>
      </c>
      <c r="B11" s="9" t="n">
        <f aca="false">(AI11-AJ11)/1000</f>
        <v>569.123</v>
      </c>
      <c r="C11" s="9" t="n">
        <f aca="false">AK11/1000</f>
        <v>105.385</v>
      </c>
      <c r="D11" s="9" t="n">
        <f aca="false">B11-C11</f>
        <v>463.738</v>
      </c>
      <c r="E11" s="10" t="n">
        <v>27.98</v>
      </c>
      <c r="F11" s="19" t="n">
        <f aca="false">AS11/1000</f>
        <v>107.569</v>
      </c>
      <c r="G11" s="9" t="n">
        <f aca="false">E11*F11</f>
        <v>3009.78062</v>
      </c>
      <c r="H11" s="9" t="n">
        <f aca="false">AO11/1000</f>
        <v>231.218</v>
      </c>
      <c r="I11" s="9" t="n">
        <f aca="false">AP11/1000</f>
        <v>159.146</v>
      </c>
      <c r="J11" s="9" t="n">
        <f aca="false">H11+I11</f>
        <v>390.364</v>
      </c>
      <c r="K11" s="9" t="n">
        <f aca="false">G11-J11</f>
        <v>2619.41662</v>
      </c>
      <c r="L11" s="9" t="n">
        <f aca="false">AU11/1000</f>
        <v>2729.62</v>
      </c>
      <c r="M11" s="9" t="n">
        <f aca="false">AV11/1000</f>
        <v>483.988</v>
      </c>
      <c r="N11" s="9" t="n">
        <f aca="false">AX11/1000</f>
        <v>28.821</v>
      </c>
      <c r="O11" s="9" t="n">
        <f aca="false">L11+M11+N11</f>
        <v>3242.429</v>
      </c>
      <c r="P11" s="9" t="n">
        <f aca="false">G11+O11</f>
        <v>6252.20962</v>
      </c>
      <c r="Q11" s="9" t="n">
        <f aca="false">K11+O11</f>
        <v>5861.84562</v>
      </c>
      <c r="R11" s="9" t="n">
        <f aca="false">AL11/1000</f>
        <v>433.318</v>
      </c>
      <c r="S11" s="9" t="n">
        <f aca="false">AM11/1000</f>
        <v>76.352</v>
      </c>
      <c r="T11" s="9" t="n">
        <f aca="false">AN11/1000</f>
        <v>21.194</v>
      </c>
      <c r="U11" s="9" t="n">
        <f aca="false">S11+T11</f>
        <v>97.546</v>
      </c>
      <c r="V11" s="9" t="n">
        <f aca="false">R11-U11</f>
        <v>335.772</v>
      </c>
      <c r="W11" s="9" t="n">
        <f aca="false">AQ11/1000</f>
        <v>421.779</v>
      </c>
      <c r="X11" s="9" t="n">
        <f aca="false">AR11/1000</f>
        <v>215.049</v>
      </c>
      <c r="Y11" s="13" t="n">
        <f aca="false">INDEX('10 YR UST'!$B:$B,MATCH(2022,'10 YR UST'!$A:$A,0))</f>
        <v>0.0388</v>
      </c>
      <c r="Z11" s="14" t="n">
        <f aca="false">B11/Q11</f>
        <v>0.0970893873523745</v>
      </c>
      <c r="AA11" s="14" t="n">
        <f aca="false">D11/K11</f>
        <v>0.177038656798322</v>
      </c>
      <c r="AB11" s="15" t="n">
        <f aca="false">Q11/B11</f>
        <v>10.2997869001956</v>
      </c>
      <c r="AC11" s="15" t="n">
        <f aca="false">K11/D11</f>
        <v>5.6484838852973</v>
      </c>
      <c r="AD11" s="17" t="n">
        <v>0.09</v>
      </c>
      <c r="AE11" s="17" t="n">
        <v>0.911</v>
      </c>
      <c r="AF11" s="22" t="s">
        <v>456</v>
      </c>
      <c r="AG11" s="22" t="s">
        <v>456</v>
      </c>
      <c r="AI11" s="12" t="n">
        <v>828929</v>
      </c>
      <c r="AJ11" s="12" t="n">
        <v>259806</v>
      </c>
      <c r="AK11" s="12" t="n">
        <v>105385</v>
      </c>
      <c r="AL11" s="12" t="n">
        <v>433318</v>
      </c>
      <c r="AM11" s="12" t="n">
        <v>76352</v>
      </c>
      <c r="AN11" s="12" t="n">
        <v>21194</v>
      </c>
      <c r="AO11" s="12" t="n">
        <v>231218</v>
      </c>
      <c r="AP11" s="12" t="n">
        <v>159146</v>
      </c>
      <c r="AQ11" s="12" t="n">
        <v>421779</v>
      </c>
      <c r="AR11" s="12" t="n">
        <v>215049</v>
      </c>
      <c r="AS11" s="12" t="n">
        <v>107569</v>
      </c>
      <c r="AT11" s="12" t="n">
        <v>3009781</v>
      </c>
      <c r="AU11" s="12" t="n">
        <v>2729620</v>
      </c>
      <c r="AV11" s="12" t="n">
        <v>483988</v>
      </c>
      <c r="AW11" s="12" t="n">
        <v>3213608</v>
      </c>
      <c r="AX11" s="12" t="n">
        <v>28821</v>
      </c>
      <c r="AY11" s="9" t="n">
        <f aca="false">AU11+AV11-AW11</f>
        <v>0</v>
      </c>
      <c r="AZ11" s="9" t="n">
        <f aca="false">E11*AS11-AT11</f>
        <v>-0.379999999888241</v>
      </c>
    </row>
    <row r="12" customFormat="false" ht="15" hidden="false" customHeight="true" outlineLevel="0" collapsed="false">
      <c r="A12" s="6" t="s">
        <v>457</v>
      </c>
      <c r="B12" s="9" t="n">
        <f aca="false">(AI12-AJ12)/1000</f>
        <v>531.571</v>
      </c>
      <c r="C12" s="9" t="n">
        <f aca="false">AK12/1000</f>
        <v>85.853</v>
      </c>
      <c r="D12" s="9" t="n">
        <f aca="false">B12-C12</f>
        <v>445.718</v>
      </c>
      <c r="E12" s="10" t="n">
        <v>44.59</v>
      </c>
      <c r="F12" s="19" t="n">
        <f aca="false">AS12/1000</f>
        <v>107.398</v>
      </c>
      <c r="G12" s="9" t="n">
        <f aca="false">E12*F12</f>
        <v>4788.87682</v>
      </c>
      <c r="H12" s="9" t="n">
        <f aca="false">AO12/1000</f>
        <v>215.257</v>
      </c>
      <c r="I12" s="9" t="n">
        <f aca="false">AP12/1000</f>
        <v>107.115</v>
      </c>
      <c r="J12" s="9" t="n">
        <f aca="false">H12+I12</f>
        <v>322.372</v>
      </c>
      <c r="K12" s="9" t="n">
        <f aca="false">G12-J12</f>
        <v>4466.50482</v>
      </c>
      <c r="L12" s="9" t="n">
        <f aca="false">AU12/1000</f>
        <v>2312.18</v>
      </c>
      <c r="M12" s="9" t="n">
        <f aca="false">AV12/1000</f>
        <v>491.942</v>
      </c>
      <c r="N12" s="9" t="n">
        <f aca="false">AX12/1000</f>
        <v>28.821</v>
      </c>
      <c r="O12" s="9" t="n">
        <f aca="false">L12+M12+N12</f>
        <v>2832.943</v>
      </c>
      <c r="P12" s="9" t="n">
        <f aca="false">G12+O12</f>
        <v>7621.81982</v>
      </c>
      <c r="Q12" s="9" t="n">
        <f aca="false">K12+O12</f>
        <v>7299.44782</v>
      </c>
      <c r="R12" s="9" t="n">
        <f aca="false">AL12/1000</f>
        <v>413.313</v>
      </c>
      <c r="S12" s="9" t="n">
        <f aca="false">AM12/1000</f>
        <v>61.136</v>
      </c>
      <c r="T12" s="9" t="n">
        <f aca="false">AN12/1000</f>
        <v>17.511</v>
      </c>
      <c r="U12" s="9" t="n">
        <f aca="false">S12+T12</f>
        <v>78.647</v>
      </c>
      <c r="V12" s="9" t="n">
        <f aca="false">R12-U12</f>
        <v>334.666</v>
      </c>
      <c r="W12" s="9" t="n">
        <f aca="false">AQ12/1000</f>
        <v>414.558</v>
      </c>
      <c r="X12" s="9" t="n">
        <f aca="false">AR12/1000</f>
        <v>209.698</v>
      </c>
      <c r="Y12" s="13" t="n">
        <f aca="false">INDEX('10 YR UST'!$B:$B,MATCH(2021,'10 YR UST'!$A:$A,0))</f>
        <v>0.0152</v>
      </c>
      <c r="Z12" s="14" t="n">
        <f aca="false">B12/Q12</f>
        <v>0.0728234536513202</v>
      </c>
      <c r="AA12" s="14" t="n">
        <f aca="false">D12/K12</f>
        <v>0.0997912278084142</v>
      </c>
      <c r="AB12" s="15" t="n">
        <f aca="false">Q12/B12</f>
        <v>13.7318398106744</v>
      </c>
      <c r="AC12" s="15" t="n">
        <f aca="false">K12/D12</f>
        <v>10.020920896172</v>
      </c>
      <c r="AD12" s="17" t="n">
        <v>0.116</v>
      </c>
      <c r="AE12" s="17" t="n">
        <v>0.912</v>
      </c>
      <c r="AF12" s="22" t="s">
        <v>456</v>
      </c>
      <c r="AG12" s="22" t="s">
        <v>456</v>
      </c>
      <c r="AI12" s="12" t="n">
        <v>768007</v>
      </c>
      <c r="AJ12" s="12" t="n">
        <v>236436</v>
      </c>
      <c r="AK12" s="12" t="n">
        <v>85853</v>
      </c>
      <c r="AL12" s="12" t="n">
        <v>413313</v>
      </c>
      <c r="AM12" s="12" t="n">
        <v>61136</v>
      </c>
      <c r="AN12" s="12" t="n">
        <v>17511</v>
      </c>
      <c r="AO12" s="12" t="n">
        <v>215257</v>
      </c>
      <c r="AP12" s="12" t="n">
        <v>107115</v>
      </c>
      <c r="AQ12" s="12" t="n">
        <v>414558</v>
      </c>
      <c r="AR12" s="12" t="n">
        <v>209698</v>
      </c>
      <c r="AS12" s="12" t="n">
        <v>107398</v>
      </c>
      <c r="AT12" s="12" t="n">
        <v>4788877</v>
      </c>
      <c r="AU12" s="12" t="n">
        <v>2312180</v>
      </c>
      <c r="AV12" s="12" t="n">
        <v>491942</v>
      </c>
      <c r="AW12" s="12" t="n">
        <v>2804122</v>
      </c>
      <c r="AX12" s="12" t="n">
        <v>28821</v>
      </c>
      <c r="AY12" s="9" t="n">
        <f aca="false">AU12+AV12-AW12</f>
        <v>0</v>
      </c>
      <c r="AZ12" s="9" t="n">
        <f aca="false">E12*AS12-AT12</f>
        <v>-0.179999999701977</v>
      </c>
    </row>
    <row r="13" customFormat="false" ht="15" hidden="false" customHeight="true" outlineLevel="0" collapsed="false">
      <c r="A13" s="6" t="s">
        <v>458</v>
      </c>
      <c r="B13" s="9" t="n">
        <f aca="false">(AI13-AJ13)/1000</f>
        <v>505.075</v>
      </c>
      <c r="C13" s="9" t="n">
        <f aca="false">AK13/1000</f>
        <v>80.962</v>
      </c>
      <c r="D13" s="9" t="n">
        <f aca="false">B13-C13</f>
        <v>424.113</v>
      </c>
      <c r="E13" s="10" t="n">
        <v>39.63</v>
      </c>
      <c r="F13" s="19" t="n">
        <f aca="false">AS13/1000</f>
        <v>106.761</v>
      </c>
      <c r="G13" s="9" t="n">
        <f aca="false">E13*F13</f>
        <v>4230.93843</v>
      </c>
      <c r="H13" s="9" t="n">
        <f aca="false">AO13/1000</f>
        <v>131.474</v>
      </c>
      <c r="I13" s="9" t="n">
        <f aca="false">AP13/1000</f>
        <v>398.862</v>
      </c>
      <c r="J13" s="9" t="n">
        <f aca="false">H13+I13</f>
        <v>530.336</v>
      </c>
      <c r="K13" s="9" t="n">
        <f aca="false">G13-J13</f>
        <v>3700.60243</v>
      </c>
      <c r="L13" s="9" t="n">
        <f aca="false">AU13/1000</f>
        <v>2390.652</v>
      </c>
      <c r="M13" s="9" t="n">
        <f aca="false">AV13/1000</f>
        <v>93.35</v>
      </c>
      <c r="N13" s="9" t="n">
        <f aca="false">AX13/1000</f>
        <v>28.826</v>
      </c>
      <c r="O13" s="9" t="n">
        <f aca="false">L13+M13+N13</f>
        <v>2512.828</v>
      </c>
      <c r="P13" s="9" t="n">
        <f aca="false">G13+O13</f>
        <v>6743.76643</v>
      </c>
      <c r="Q13" s="9" t="n">
        <f aca="false">K13+O13</f>
        <v>6213.43043</v>
      </c>
      <c r="R13" s="9" t="n">
        <f aca="false">AL13/1000</f>
        <v>382.068</v>
      </c>
      <c r="S13" s="9" t="n">
        <f aca="false">AM13/1000</f>
        <v>75.072</v>
      </c>
      <c r="T13" s="9" t="n">
        <f aca="false">AN13/1000</f>
        <v>14.816</v>
      </c>
      <c r="U13" s="9" t="n">
        <f aca="false">S13+T13</f>
        <v>89.888</v>
      </c>
      <c r="V13" s="9" t="n">
        <f aca="false">R13-U13</f>
        <v>292.18</v>
      </c>
      <c r="W13" s="9" t="n">
        <f aca="false">AQ13/1000</f>
        <v>358.16</v>
      </c>
      <c r="X13" s="9" t="n">
        <f aca="false">AR13/1000</f>
        <v>204.787</v>
      </c>
      <c r="Y13" s="13" t="n">
        <f aca="false">INDEX('10 YR UST'!$B:$B,MATCH(2020,'10 YR UST'!$A:$A,0))</f>
        <v>0.0093</v>
      </c>
      <c r="Z13" s="14" t="n">
        <f aca="false">B13/Q13</f>
        <v>0.0812876245562147</v>
      </c>
      <c r="AA13" s="14" t="n">
        <f aca="false">D13/K13</f>
        <v>0.114606475032769</v>
      </c>
      <c r="AB13" s="15" t="n">
        <f aca="false">Q13/B13</f>
        <v>12.3019956046132</v>
      </c>
      <c r="AC13" s="15" t="n">
        <f aca="false">K13/D13</f>
        <v>8.72551048894988</v>
      </c>
      <c r="AD13" s="17" t="n">
        <v>0.084</v>
      </c>
      <c r="AE13" s="17" t="n">
        <v>0.903</v>
      </c>
      <c r="AF13" s="22" t="s">
        <v>456</v>
      </c>
      <c r="AG13" s="22" t="s">
        <v>456</v>
      </c>
      <c r="AI13" s="12" t="n">
        <v>736900</v>
      </c>
      <c r="AJ13" s="12" t="n">
        <v>231825</v>
      </c>
      <c r="AK13" s="12" t="n">
        <v>80962</v>
      </c>
      <c r="AL13" s="12" t="n">
        <v>382068</v>
      </c>
      <c r="AM13" s="12" t="n">
        <v>75072</v>
      </c>
      <c r="AN13" s="12" t="n">
        <v>14816</v>
      </c>
      <c r="AO13" s="12" t="n">
        <v>131474</v>
      </c>
      <c r="AP13" s="12" t="n">
        <v>398862</v>
      </c>
      <c r="AQ13" s="12" t="n">
        <v>358160</v>
      </c>
      <c r="AR13" s="12" t="n">
        <v>204787</v>
      </c>
      <c r="AS13" s="12" t="n">
        <v>106761</v>
      </c>
      <c r="AT13" s="12" t="n">
        <v>4230938</v>
      </c>
      <c r="AU13" s="12" t="n">
        <v>2390652</v>
      </c>
      <c r="AV13" s="12" t="n">
        <v>93350</v>
      </c>
      <c r="AW13" s="12" t="n">
        <v>2484002</v>
      </c>
      <c r="AX13" s="12" t="n">
        <v>28826</v>
      </c>
      <c r="AY13" s="9" t="n">
        <f aca="false">AU13+AV13-AW13</f>
        <v>0</v>
      </c>
      <c r="AZ13" s="9" t="n">
        <f aca="false">E13*AS13-AT13</f>
        <v>0.430000000633299</v>
      </c>
    </row>
    <row r="14" customFormat="false" ht="15" hidden="false" customHeight="true" outlineLevel="0" collapsed="false">
      <c r="A14" s="6" t="s">
        <v>459</v>
      </c>
      <c r="B14" s="9" t="n">
        <f aca="false">(AI14-AJ14)/1000</f>
        <v>487.468</v>
      </c>
      <c r="C14" s="9" t="n">
        <f aca="false">AK14/1000</f>
        <v>81.648</v>
      </c>
      <c r="D14" s="9" t="n">
        <f aca="false">B14-C14</f>
        <v>405.82</v>
      </c>
      <c r="E14" s="10" t="n">
        <v>48.91</v>
      </c>
      <c r="F14" s="19" t="n">
        <f aca="false">AS14/1000</f>
        <v>106.48</v>
      </c>
      <c r="G14" s="9" t="n">
        <f aca="false">E14*F14</f>
        <v>5207.9368</v>
      </c>
      <c r="H14" s="9" t="n">
        <f aca="false">AO14/1000</f>
        <v>99.163</v>
      </c>
      <c r="I14" s="9" t="n">
        <f aca="false">AP14/1000</f>
        <v>222.334</v>
      </c>
      <c r="J14" s="9" t="n">
        <f aca="false">H14+I14</f>
        <v>321.497</v>
      </c>
      <c r="K14" s="9" t="n">
        <f aca="false">G14-J14</f>
        <v>4886.4398</v>
      </c>
      <c r="L14" s="9" t="n">
        <f aca="false">AU14/1000</f>
        <v>2461.425</v>
      </c>
      <c r="M14" s="9" t="n">
        <f aca="false">AV14/1000</f>
        <v>95.303</v>
      </c>
      <c r="N14" s="9" t="n">
        <f aca="false">AX14/1000</f>
        <v>28.859</v>
      </c>
      <c r="O14" s="9" t="n">
        <f aca="false">L14+M14+N14</f>
        <v>2585.587</v>
      </c>
      <c r="P14" s="9" t="n">
        <f aca="false">G14+O14</f>
        <v>7793.5238</v>
      </c>
      <c r="Q14" s="9" t="n">
        <f aca="false">K14+O14</f>
        <v>7472.0268</v>
      </c>
      <c r="R14" s="9" t="n">
        <f aca="false">AL14/1000</f>
        <v>354.769</v>
      </c>
      <c r="S14" s="9" t="n">
        <f aca="false">AM14/1000</f>
        <v>85.136</v>
      </c>
      <c r="T14" s="9" t="n">
        <f aca="false">AN14/1000</f>
        <v>28.146</v>
      </c>
      <c r="U14" s="9" t="n">
        <f aca="false">S14+T14</f>
        <v>113.282</v>
      </c>
      <c r="V14" s="9" t="n">
        <f aca="false">R14-U14</f>
        <v>241.487</v>
      </c>
      <c r="W14" s="9" t="n">
        <f aca="false">AQ14/1000</f>
        <v>365.797</v>
      </c>
      <c r="X14" s="9" t="n">
        <f aca="false">AR14/1000</f>
        <v>202.124</v>
      </c>
      <c r="Y14" s="13" t="n">
        <f aca="false">INDEX('10 YR UST'!$B:$B,MATCH(2019,'10 YR UST'!$A:$A,0))</f>
        <v>0.0192</v>
      </c>
      <c r="Z14" s="14" t="n">
        <f aca="false">B14/Q14</f>
        <v>0.0652390593673995</v>
      </c>
      <c r="AA14" s="14" t="n">
        <f aca="false">D14/K14</f>
        <v>0.0830502403815555</v>
      </c>
      <c r="AB14" s="15" t="n">
        <f aca="false">Q14/B14</f>
        <v>15.3282406229742</v>
      </c>
      <c r="AC14" s="15" t="n">
        <f aca="false">K14/D14</f>
        <v>12.0409043418264</v>
      </c>
      <c r="AD14" s="17" t="n">
        <v>0.198</v>
      </c>
      <c r="AE14" s="17" t="n">
        <v>0.922</v>
      </c>
      <c r="AF14" s="22" t="s">
        <v>456</v>
      </c>
      <c r="AG14" s="22" t="s">
        <v>456</v>
      </c>
      <c r="AI14" s="12" t="n">
        <v>735979</v>
      </c>
      <c r="AJ14" s="12" t="n">
        <v>248511</v>
      </c>
      <c r="AK14" s="12" t="n">
        <v>81648</v>
      </c>
      <c r="AL14" s="12" t="n">
        <v>354769</v>
      </c>
      <c r="AM14" s="12" t="n">
        <v>85136</v>
      </c>
      <c r="AN14" s="12" t="n">
        <v>28146</v>
      </c>
      <c r="AO14" s="12" t="n">
        <v>99163</v>
      </c>
      <c r="AP14" s="12" t="n">
        <v>222334</v>
      </c>
      <c r="AQ14" s="12" t="n">
        <v>365797</v>
      </c>
      <c r="AR14" s="12" t="n">
        <v>202124</v>
      </c>
      <c r="AS14" s="12" t="n">
        <v>106480</v>
      </c>
      <c r="AT14" s="12" t="n">
        <v>5207937</v>
      </c>
      <c r="AU14" s="12" t="n">
        <v>2461425</v>
      </c>
      <c r="AV14" s="12" t="n">
        <v>95303</v>
      </c>
      <c r="AW14" s="12" t="n">
        <v>2556728</v>
      </c>
      <c r="AX14" s="12" t="n">
        <v>28859</v>
      </c>
      <c r="AY14" s="9" t="n">
        <f aca="false">AU14+AV14-AW14</f>
        <v>0</v>
      </c>
      <c r="AZ14" s="9" t="n">
        <f aca="false">E14*AS14-AT14</f>
        <v>-0.200000000186265</v>
      </c>
    </row>
    <row r="15" customFormat="false" ht="15" hidden="false" customHeight="true" outlineLevel="0" collapsed="false">
      <c r="A15" s="6" t="s">
        <v>460</v>
      </c>
      <c r="B15" s="9" t="n">
        <f aca="false">(AI15-AJ15)/1000</f>
        <v>477.62</v>
      </c>
      <c r="C15" s="9" t="n">
        <f aca="false">AK15/1000</f>
        <v>71.422</v>
      </c>
      <c r="D15" s="9" t="n">
        <f aca="false">B15-C15</f>
        <v>406.198</v>
      </c>
      <c r="E15" s="10" t="n">
        <v>38.69</v>
      </c>
      <c r="F15" s="19" t="n">
        <f aca="false">AS15/1000</f>
        <v>106.296</v>
      </c>
      <c r="G15" s="9" t="n">
        <f aca="false">E15*F15</f>
        <v>4112.59224</v>
      </c>
      <c r="H15" s="9" t="n">
        <f aca="false">AO15/1000</f>
        <v>128.248</v>
      </c>
      <c r="I15" s="9" t="n">
        <f aca="false">AP15/1000</f>
        <v>360.032</v>
      </c>
      <c r="J15" s="9" t="n">
        <f aca="false">H15+I15</f>
        <v>488.28</v>
      </c>
      <c r="K15" s="9" t="n">
        <f aca="false">G15-J15</f>
        <v>3624.31224</v>
      </c>
      <c r="L15" s="9" t="n">
        <f aca="false">AU15/1000</f>
        <v>1997.816</v>
      </c>
      <c r="M15" s="9" t="n">
        <f aca="false">AV15/1000</f>
        <v>97.179</v>
      </c>
      <c r="N15" s="9" t="n">
        <f aca="false">AX15/1000</f>
        <v>28.877</v>
      </c>
      <c r="O15" s="9" t="n">
        <f aca="false">L15+M15+N15</f>
        <v>2123.872</v>
      </c>
      <c r="P15" s="9" t="n">
        <f aca="false">G15+O15</f>
        <v>6236.46424</v>
      </c>
      <c r="Q15" s="9" t="n">
        <f aca="false">K15+O15</f>
        <v>5748.18424</v>
      </c>
      <c r="R15" s="9" t="n">
        <f aca="false">AL15/1000</f>
        <v>366.164</v>
      </c>
      <c r="S15" s="9" t="n">
        <f aca="false">AM15/1000</f>
        <v>75.296</v>
      </c>
      <c r="T15" s="9" t="n">
        <f aca="false">AN15/1000</f>
        <v>25.329</v>
      </c>
      <c r="U15" s="9" t="n">
        <f aca="false">S15+T15</f>
        <v>100.625</v>
      </c>
      <c r="V15" s="9" t="n">
        <f aca="false">R15-U15</f>
        <v>265.539</v>
      </c>
      <c r="W15" s="9" t="n">
        <f aca="false">AQ15/1000</f>
        <v>358.628</v>
      </c>
      <c r="X15" s="9" t="n">
        <f aca="false">AR15/1000</f>
        <v>196.469</v>
      </c>
      <c r="Y15" s="13" t="n">
        <f aca="false">INDEX('10 YR UST'!$B:$B,MATCH(2018,'10 YR UST'!$A:$A,0))</f>
        <v>0.0269</v>
      </c>
      <c r="Z15" s="14" t="n">
        <f aca="false">B15/Q15</f>
        <v>0.0830905865327657</v>
      </c>
      <c r="AA15" s="14" t="n">
        <f aca="false">D15/K15</f>
        <v>0.1120758844994</v>
      </c>
      <c r="AB15" s="15" t="n">
        <f aca="false">Q15/B15</f>
        <v>12.035057660902</v>
      </c>
      <c r="AC15" s="15" t="n">
        <f aca="false">K15/D15</f>
        <v>8.92252605872013</v>
      </c>
      <c r="AD15" s="17" t="n">
        <v>0.202</v>
      </c>
      <c r="AE15" s="17" t="n">
        <v>0.919</v>
      </c>
      <c r="AF15" s="22" t="s">
        <v>456</v>
      </c>
      <c r="AG15" s="22" t="s">
        <v>456</v>
      </c>
      <c r="AI15" s="12" t="n">
        <v>720035</v>
      </c>
      <c r="AJ15" s="12" t="n">
        <v>242415</v>
      </c>
      <c r="AK15" s="12" t="n">
        <v>71422</v>
      </c>
      <c r="AL15" s="12" t="n">
        <v>366164</v>
      </c>
      <c r="AM15" s="12" t="n">
        <v>75296</v>
      </c>
      <c r="AN15" s="12" t="n">
        <v>25329</v>
      </c>
      <c r="AO15" s="12" t="n">
        <v>128248</v>
      </c>
      <c r="AP15" s="12" t="n">
        <v>360032</v>
      </c>
      <c r="AQ15" s="12" t="n">
        <v>358628</v>
      </c>
      <c r="AR15" s="12" t="n">
        <v>196469</v>
      </c>
      <c r="AS15" s="12" t="n">
        <v>106296</v>
      </c>
      <c r="AT15" s="12" t="n">
        <v>4112592</v>
      </c>
      <c r="AU15" s="12" t="n">
        <v>1997816</v>
      </c>
      <c r="AV15" s="12" t="n">
        <v>97179</v>
      </c>
      <c r="AW15" s="12" t="n">
        <v>2094995</v>
      </c>
      <c r="AX15" s="12" t="n">
        <v>28877</v>
      </c>
      <c r="AY15" s="9" t="n">
        <f aca="false">AU15+AV15-AW15</f>
        <v>0</v>
      </c>
      <c r="AZ15" s="9" t="n">
        <f aca="false">E15*AS15-AT15</f>
        <v>0.239999999757856</v>
      </c>
    </row>
    <row r="16" customFormat="false" ht="15" hidden="false" customHeight="true" outlineLevel="0" collapsed="false">
      <c r="A16" s="6" t="s">
        <v>461</v>
      </c>
      <c r="B16" s="9" t="n">
        <f aca="false">(AI16-AJ16)/1000</f>
        <v>465.849</v>
      </c>
      <c r="C16" s="9" t="n">
        <f aca="false">AK16/1000</f>
        <v>69.105</v>
      </c>
      <c r="D16" s="9" t="n">
        <f aca="false">B16-C16</f>
        <v>396.744</v>
      </c>
      <c r="E16" s="10" t="n">
        <v>50.91</v>
      </c>
      <c r="F16" s="19" t="n">
        <f aca="false">AS16/1000</f>
        <v>106.096</v>
      </c>
      <c r="G16" s="9" t="n">
        <f aca="false">E16*F16</f>
        <v>5401.34736</v>
      </c>
      <c r="H16" s="9" t="n">
        <f aca="false">AO16/1000</f>
        <v>74.765</v>
      </c>
      <c r="I16" s="9" t="n">
        <f aca="false">AP16/1000</f>
        <v>241.621</v>
      </c>
      <c r="J16" s="9" t="n">
        <f aca="false">H16+I16</f>
        <v>316.386</v>
      </c>
      <c r="K16" s="9" t="n">
        <f aca="false">G16-J16</f>
        <v>5084.96136</v>
      </c>
      <c r="L16" s="9" t="n">
        <f aca="false">AU16/1000</f>
        <v>1923.513</v>
      </c>
      <c r="M16" s="9" t="n">
        <f aca="false">AV16/1000</f>
        <v>98.981</v>
      </c>
      <c r="N16" s="9" t="n">
        <f aca="false">AX16/1000</f>
        <v>28.892</v>
      </c>
      <c r="O16" s="9" t="n">
        <f aca="false">L16+M16+N16</f>
        <v>2051.386</v>
      </c>
      <c r="P16" s="9" t="n">
        <f aca="false">G16+O16</f>
        <v>7452.73336</v>
      </c>
      <c r="Q16" s="9" t="n">
        <f aca="false">K16+O16</f>
        <v>7136.34736</v>
      </c>
      <c r="R16" s="9" t="n">
        <f aca="false">AL16/1000</f>
        <v>357.495</v>
      </c>
      <c r="S16" s="9" t="n">
        <f aca="false">AM16/1000</f>
        <v>60.562</v>
      </c>
      <c r="T16" s="9" t="n">
        <f aca="false">AN16/1000</f>
        <v>19.849</v>
      </c>
      <c r="U16" s="9" t="n">
        <f aca="false">S16+T16</f>
        <v>80.411</v>
      </c>
      <c r="V16" s="9" t="n">
        <f aca="false">R16-U16</f>
        <v>277.084</v>
      </c>
      <c r="W16" s="9" t="n">
        <f aca="false">AQ16/1000</f>
        <v>352.532</v>
      </c>
      <c r="X16" s="9" t="n">
        <f aca="false">AR16/1000</f>
        <v>269.268</v>
      </c>
      <c r="Y16" s="13" t="n">
        <f aca="false">INDEX('10 YR UST'!$B:$B,MATCH(2017,'10 YR UST'!$A:$A,0))</f>
        <v>0.024</v>
      </c>
      <c r="Z16" s="14" t="n">
        <f aca="false">B16/Q16</f>
        <v>0.0652783527061945</v>
      </c>
      <c r="AA16" s="14" t="n">
        <f aca="false">D16/K16</f>
        <v>0.0780230117618829</v>
      </c>
      <c r="AB16" s="15" t="n">
        <f aca="false">Q16/B16</f>
        <v>15.319014015271</v>
      </c>
      <c r="AC16" s="15" t="n">
        <f aca="false">K16/D16</f>
        <v>12.8167315951848</v>
      </c>
      <c r="AD16" s="17" t="n">
        <v>0.168</v>
      </c>
      <c r="AE16" s="17" t="n">
        <v>0.929</v>
      </c>
      <c r="AF16" s="22" t="s">
        <v>456</v>
      </c>
      <c r="AG16" s="22" t="s">
        <v>456</v>
      </c>
      <c r="AI16" s="12" t="n">
        <v>702737</v>
      </c>
      <c r="AJ16" s="12" t="n">
        <v>236888</v>
      </c>
      <c r="AK16" s="12" t="n">
        <v>69105</v>
      </c>
      <c r="AL16" s="12" t="n">
        <v>357495</v>
      </c>
      <c r="AM16" s="12" t="n">
        <v>60562</v>
      </c>
      <c r="AN16" s="12" t="n">
        <v>19849</v>
      </c>
      <c r="AO16" s="12" t="n">
        <v>74765</v>
      </c>
      <c r="AP16" s="12" t="n">
        <v>241621</v>
      </c>
      <c r="AQ16" s="12" t="n">
        <v>352532</v>
      </c>
      <c r="AR16" s="12" t="n">
        <f aca="false">180805+81205+4987+2271</f>
        <v>269268</v>
      </c>
      <c r="AS16" s="12" t="n">
        <v>106096</v>
      </c>
      <c r="AT16" s="12" t="n">
        <v>5401347</v>
      </c>
      <c r="AU16" s="12" t="n">
        <v>1923513</v>
      </c>
      <c r="AV16" s="12" t="n">
        <v>98981</v>
      </c>
      <c r="AW16" s="12" t="n">
        <v>2022494</v>
      </c>
      <c r="AX16" s="12" t="n">
        <v>28892</v>
      </c>
      <c r="AY16" s="9" t="n">
        <f aca="false">AU16+AV16-AW16</f>
        <v>0</v>
      </c>
      <c r="AZ16" s="9" t="n">
        <f aca="false">E16*AS16-AT16</f>
        <v>0.359999999403954</v>
      </c>
    </row>
    <row r="17" customFormat="false" ht="15" hidden="false" customHeight="true" outlineLevel="0" collapsed="false">
      <c r="A17" s="6" t="s">
        <v>462</v>
      </c>
      <c r="B17" s="9" t="n">
        <f aca="false">(AI17-AJ17)/1000</f>
        <v>434.549</v>
      </c>
      <c r="C17" s="9" t="n">
        <f aca="false">AK17/1000</f>
        <v>76.648</v>
      </c>
      <c r="D17" s="9" t="n">
        <f aca="false">B17-C17</f>
        <v>357.901</v>
      </c>
      <c r="E17" s="10" t="n">
        <v>51.01</v>
      </c>
      <c r="F17" s="19" t="n">
        <f aca="false">AS17/1000</f>
        <v>104.505</v>
      </c>
      <c r="G17" s="9" t="n">
        <f aca="false">E17*F17</f>
        <v>5330.80005</v>
      </c>
      <c r="H17" s="9" t="n">
        <f aca="false">AO17/1000</f>
        <v>77.355</v>
      </c>
      <c r="I17" s="9" t="n">
        <f aca="false">AP17/1000</f>
        <v>355.456</v>
      </c>
      <c r="J17" s="9" t="n">
        <f aca="false">H17+I17</f>
        <v>432.811</v>
      </c>
      <c r="K17" s="9" t="n">
        <f aca="false">G17-J17</f>
        <v>4897.98905</v>
      </c>
      <c r="L17" s="9" t="n">
        <f aca="false">AU17/1000</f>
        <v>1826.145</v>
      </c>
      <c r="M17" s="9" t="n">
        <f aca="false">AV17/1000</f>
        <v>128.204</v>
      </c>
      <c r="N17" s="9" t="n">
        <f aca="false">AX17/1000</f>
        <v>28.92</v>
      </c>
      <c r="O17" s="9" t="n">
        <f aca="false">L17+M17+N17</f>
        <v>1983.269</v>
      </c>
      <c r="P17" s="9" t="n">
        <f aca="false">G17+O17</f>
        <v>7314.06905</v>
      </c>
      <c r="Q17" s="9" t="n">
        <f aca="false">K17+O17</f>
        <v>6881.25805</v>
      </c>
      <c r="R17" s="9" t="n">
        <f aca="false">AL17/1000</f>
        <v>332.312</v>
      </c>
      <c r="S17" s="9" t="n">
        <f aca="false">AM17/1000</f>
        <v>51.505</v>
      </c>
      <c r="T17" s="9" t="n">
        <f aca="false">AN17/1000</f>
        <v>22.593</v>
      </c>
      <c r="U17" s="9" t="n">
        <f aca="false">S17+T17</f>
        <v>74.098</v>
      </c>
      <c r="V17" s="9" t="n">
        <f aca="false">R17-U17</f>
        <v>258.214</v>
      </c>
      <c r="W17" s="9" t="n">
        <f aca="false">AQ17/1000</f>
        <v>305.805</v>
      </c>
      <c r="X17" s="9" t="n">
        <f aca="false">AR17/1000</f>
        <v>171.749</v>
      </c>
      <c r="Y17" s="13" t="n">
        <f aca="false">INDEX('10 YR UST'!$B:$B,MATCH(2016,'10 YR UST'!$A:$A,0))</f>
        <v>0.0245</v>
      </c>
      <c r="Z17" s="14" t="n">
        <f aca="false">B17/Q17</f>
        <v>0.0631496445624503</v>
      </c>
      <c r="AA17" s="14" t="n">
        <f aca="false">D17/K17</f>
        <v>0.0730710086009686</v>
      </c>
      <c r="AB17" s="15" t="n">
        <f aca="false">Q17/B17</f>
        <v>15.8354018764282</v>
      </c>
      <c r="AC17" s="15" t="n">
        <f aca="false">K17/D17</f>
        <v>13.6853181466383</v>
      </c>
      <c r="AD17" s="17" t="n">
        <v>0.139</v>
      </c>
      <c r="AE17" s="17" t="n">
        <v>0.931</v>
      </c>
      <c r="AF17" s="22" t="s">
        <v>456</v>
      </c>
      <c r="AG17" s="22" t="s">
        <v>456</v>
      </c>
      <c r="AI17" s="12" t="n">
        <v>665634</v>
      </c>
      <c r="AJ17" s="12" t="n">
        <v>231085</v>
      </c>
      <c r="AK17" s="12" t="n">
        <v>76648</v>
      </c>
      <c r="AL17" s="12" t="n">
        <v>332312</v>
      </c>
      <c r="AM17" s="12" t="n">
        <v>51505</v>
      </c>
      <c r="AN17" s="12" t="n">
        <v>22593</v>
      </c>
      <c r="AO17" s="12" t="n">
        <v>77355</v>
      </c>
      <c r="AP17" s="12" t="n">
        <v>355456</v>
      </c>
      <c r="AQ17" s="12" t="n">
        <v>305805</v>
      </c>
      <c r="AR17" s="12" t="n">
        <v>171749</v>
      </c>
      <c r="AS17" s="12" t="n">
        <v>104505</v>
      </c>
      <c r="AT17" s="12" t="n">
        <v>5330800</v>
      </c>
      <c r="AU17" s="12" t="n">
        <v>1826145</v>
      </c>
      <c r="AV17" s="12" t="n">
        <v>128204</v>
      </c>
      <c r="AW17" s="12" t="n">
        <v>1954349</v>
      </c>
      <c r="AX17" s="12" t="n">
        <v>28920</v>
      </c>
      <c r="AY17" s="9" t="n">
        <f aca="false">AU17+AV17-AW17</f>
        <v>0</v>
      </c>
      <c r="AZ17" s="9" t="n">
        <f aca="false">E17*AS17-AT17</f>
        <v>0.0499999998137355</v>
      </c>
    </row>
    <row r="20" customFormat="false" ht="15" hidden="false" customHeight="true" outlineLevel="0" collapsed="false">
      <c r="A20" s="6" t="s">
        <v>499</v>
      </c>
    </row>
    <row r="21" customFormat="false" ht="15" hidden="false" customHeight="true" outlineLevel="0" collapsed="false">
      <c r="A21" s="18" t="s">
        <v>622</v>
      </c>
    </row>
    <row r="22" customFormat="false" ht="15" hidden="false" customHeight="true" outlineLevel="0" collapsed="false">
      <c r="A22" s="18" t="s">
        <v>623</v>
      </c>
    </row>
    <row r="23" customFormat="false" ht="15" hidden="false" customHeight="true" outlineLevel="0" collapsed="false">
      <c r="A23" s="18" t="s">
        <v>624</v>
      </c>
    </row>
    <row r="24" customFormat="false" ht="15" hidden="false" customHeight="true" outlineLevel="0" collapsed="false">
      <c r="A24" s="18" t="s">
        <v>625</v>
      </c>
    </row>
    <row r="25" customFormat="false" ht="15" hidden="false" customHeight="true" outlineLevel="0" collapsed="false">
      <c r="A25" s="18" t="s">
        <v>626</v>
      </c>
    </row>
    <row r="26" customFormat="false" ht="15" hidden="false" customHeight="true" outlineLevel="0" collapsed="false">
      <c r="A26" s="18" t="s">
        <v>627</v>
      </c>
    </row>
    <row r="27" customFormat="false" ht="15" hidden="false" customHeight="true" outlineLevel="0" collapsed="false">
      <c r="A27" s="18" t="s">
        <v>628</v>
      </c>
    </row>
    <row r="28" customFormat="false" ht="15" hidden="false" customHeight="true" outlineLevel="0" collapsed="false">
      <c r="A28" s="18" t="s">
        <v>629</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F4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1" ySplit="3" topLeftCell="B4" activePane="bottomRight" state="frozen"/>
      <selection pane="topLeft" activeCell="A1" activeCellId="0" sqref="A1"/>
      <selection pane="topRight" activeCell="B1" activeCellId="0" sqref="B1"/>
      <selection pane="bottomLeft" activeCell="A4" activeCellId="0" sqref="A4"/>
      <selection pane="bottomRight" activeCell="A1" activeCellId="0" sqref="A1"/>
    </sheetView>
  </sheetViews>
  <sheetFormatPr defaultColWidth="8.6796875" defaultRowHeight="15" zeroHeight="false" outlineLevelRow="0" outlineLevelCol="0"/>
  <cols>
    <col collapsed="false" customWidth="true" hidden="false" outlineLevel="0" max="29" min="1" style="1" width="15"/>
    <col collapsed="false" customWidth="true" hidden="false" outlineLevel="0" max="32" min="31" style="0" width="15"/>
  </cols>
  <sheetData>
    <row r="1" customFormat="false" ht="15" hidden="false" customHeight="true" outlineLevel="0" collapsed="false">
      <c r="A1" s="4" t="s">
        <v>630</v>
      </c>
    </row>
    <row r="2" customFormat="false" ht="15" hidden="false" customHeight="true" outlineLevel="0" collapsed="false">
      <c r="A2" s="5" t="s">
        <v>631</v>
      </c>
    </row>
    <row r="3" customFormat="false" ht="75" hidden="false" customHeight="true" outlineLevel="0" collapsed="false">
      <c r="A3" s="8" t="s">
        <v>405</v>
      </c>
      <c r="B3" s="8" t="s">
        <v>632</v>
      </c>
      <c r="C3" s="8" t="s">
        <v>432</v>
      </c>
      <c r="D3" s="8" t="s">
        <v>513</v>
      </c>
      <c r="E3" s="8" t="s">
        <v>633</v>
      </c>
      <c r="F3" s="8" t="s">
        <v>515</v>
      </c>
      <c r="G3" s="8" t="s">
        <v>516</v>
      </c>
      <c r="H3" s="8" t="s">
        <v>517</v>
      </c>
      <c r="I3" s="8" t="s">
        <v>518</v>
      </c>
      <c r="J3" s="8" t="s">
        <v>435</v>
      </c>
      <c r="K3" s="8" t="s">
        <v>436</v>
      </c>
      <c r="L3" s="8" t="s">
        <v>481</v>
      </c>
      <c r="M3" s="8" t="s">
        <v>424</v>
      </c>
      <c r="N3" s="8" t="s">
        <v>408</v>
      </c>
      <c r="O3" s="8" t="s">
        <v>415</v>
      </c>
      <c r="P3" s="8" t="s">
        <v>519</v>
      </c>
      <c r="Q3" s="8" t="s">
        <v>520</v>
      </c>
      <c r="R3" s="8" t="s">
        <v>521</v>
      </c>
      <c r="S3" s="8" t="s">
        <v>522</v>
      </c>
      <c r="T3" s="8" t="s">
        <v>523</v>
      </c>
      <c r="U3" s="8" t="s">
        <v>524</v>
      </c>
      <c r="V3" s="8" t="s">
        <v>525</v>
      </c>
      <c r="W3" s="8" t="s">
        <v>526</v>
      </c>
      <c r="X3" s="8" t="s">
        <v>527</v>
      </c>
      <c r="Y3" s="8" t="s">
        <v>528</v>
      </c>
      <c r="Z3" s="8" t="s">
        <v>529</v>
      </c>
      <c r="AA3" s="8" t="s">
        <v>530</v>
      </c>
      <c r="AB3" s="8" t="s">
        <v>531</v>
      </c>
      <c r="AC3" s="8" t="s">
        <v>532</v>
      </c>
      <c r="AE3" s="21" t="s">
        <v>533</v>
      </c>
      <c r="AF3" s="21" t="s">
        <v>534</v>
      </c>
    </row>
    <row r="4" customFormat="false" ht="15" hidden="false" customHeight="true" outlineLevel="0" collapsed="false">
      <c r="A4" s="22" t="n">
        <v>2016</v>
      </c>
      <c r="B4" s="14" t="n">
        <f aca="false">'HIW Final'!Z17</f>
        <v>0.0631496445624503</v>
      </c>
      <c r="C4" s="14" t="n">
        <f aca="false">'HIW Final'!Y17</f>
        <v>0.0245</v>
      </c>
      <c r="D4" s="14" t="n">
        <f aca="false">B4-C4</f>
        <v>0.0386496445624503</v>
      </c>
      <c r="E4" s="14" t="n">
        <f aca="false">'HIW Final'!AA17</f>
        <v>0.0730710086009686</v>
      </c>
      <c r="F4" s="14" t="n">
        <f aca="false">E4-B4</f>
        <v>0.00992136403851827</v>
      </c>
      <c r="G4" s="14" t="n">
        <f aca="false">INDEX('CoStar - US Office'!$B:$B,MATCH(2016,'CoStar - US Office'!$A:$A,0))</f>
        <v>0.0970735517913501</v>
      </c>
      <c r="H4" s="14" t="n">
        <f aca="false">INDEX('CoStar - US Office'!$E:$E,MATCH(2016,'CoStar - US Office'!$A:$A,0))</f>
        <v>0.031547647151038</v>
      </c>
      <c r="I4" s="14" t="n">
        <f aca="false">INDEX('CoStar - US Office'!$H:$H,MATCH(2016,'CoStar - US Office'!$A:$A,0))</f>
        <v>0.0055196739996702</v>
      </c>
      <c r="J4" s="15" t="n">
        <f aca="false">'HIW Final'!AB17</f>
        <v>15.8354018764282</v>
      </c>
      <c r="K4" s="15" t="n">
        <f aca="false">'HIW Final'!AC17</f>
        <v>13.6853181466383</v>
      </c>
      <c r="L4" s="9" t="n">
        <f aca="false">'HIW Final'!B17</f>
        <v>434.549</v>
      </c>
      <c r="M4" s="9" t="n">
        <f aca="false">'HIW Final'!Q17</f>
        <v>6881.25805</v>
      </c>
      <c r="N4" s="9" t="n">
        <f aca="false">'HIW Final'!D17</f>
        <v>357.901</v>
      </c>
      <c r="O4" s="9" t="n">
        <f aca="false">'HIW Final'!K17</f>
        <v>4897.98905</v>
      </c>
      <c r="P4" s="14" t="n">
        <f aca="false">INDEX('Prime Rate'!$B:$B,MATCH(2016,'Prime Rate'!$A:$A,0))</f>
        <v>0.0351</v>
      </c>
      <c r="Q4" s="9" t="n">
        <f aca="false">M4-L4</f>
        <v>6446.70905</v>
      </c>
      <c r="R4" s="9" t="n">
        <f aca="false">O4-N4</f>
        <v>4540.08805</v>
      </c>
      <c r="S4" s="23" t="n">
        <f aca="false">INDEX(Inflation!$G:$G,MATCH(2016,Inflation!$A:$A,0))</f>
        <v>0.0126707791495431</v>
      </c>
      <c r="T4" s="14" t="n">
        <f aca="false">INDEX('Green Street National'!$D:$D,MATCH(2016,'Green Street National'!$A:$A,0))</f>
        <v>0.05658714</v>
      </c>
      <c r="U4" s="9" t="n">
        <f aca="false">INDEX('Green Street National'!$F:$F,MATCH(2016,'Green Street National'!$A:$A,0))</f>
        <v>100</v>
      </c>
      <c r="V4" s="9" t="n">
        <f aca="false">INDEX(Inflation!$D:$D,MATCH(2016,Inflation!$A:$A,0))</f>
        <v>100</v>
      </c>
      <c r="W4" s="9" t="n">
        <f aca="false">INDEX(Inflation!$E:$E,MATCH(2016,Inflation!$A:$A,0))</f>
        <v>100</v>
      </c>
      <c r="X4" s="9" t="n">
        <f aca="false">INDEX('CoStar - US Office'!$G:$G,MATCH(2016,'CoStar - US Office'!$A:$A,0))</f>
        <v>100</v>
      </c>
      <c r="Y4" s="23" t="n">
        <f aca="false">INDEX('Green Street National'!$C:$C,MATCH(2016,'Green Street National'!$A:$A,0))</f>
        <v>0.01895593</v>
      </c>
      <c r="Z4" s="23" t="str">
        <f aca="false">INDEX('CoStar - US Office'!$D:$D,MATCH(2016,'CoStar - US Office'!$A:$A,0))</f>
        <v>n/a</v>
      </c>
      <c r="AA4" s="9" t="n">
        <f aca="false">INDEX('CoStar - US Office'!$F:$F,MATCH(2016,'CoStar - US Office'!$A:$A,0))</f>
        <v>31.6313190637154</v>
      </c>
      <c r="AB4" s="23" t="n">
        <f aca="false">INDEX('CoStar - US Office'!$C:$C,MATCH(2016,'CoStar - US Office'!$A:$A,0))</f>
        <v>0.90292644820865</v>
      </c>
      <c r="AC4" s="9" t="n">
        <f aca="false">100</f>
        <v>100</v>
      </c>
      <c r="AE4" s="24" t="str">
        <f aca="false">""</f>
        <v/>
      </c>
      <c r="AF4" s="24" t="str">
        <f aca="false">""</f>
        <v/>
      </c>
    </row>
    <row r="5" customFormat="false" ht="15" hidden="false" customHeight="true" outlineLevel="0" collapsed="false">
      <c r="A5" s="22" t="n">
        <v>2017</v>
      </c>
      <c r="B5" s="14" t="n">
        <f aca="false">'HIW Final'!Z16</f>
        <v>0.0652783527061945</v>
      </c>
      <c r="C5" s="14" t="n">
        <f aca="false">'HIW Final'!Y16</f>
        <v>0.024</v>
      </c>
      <c r="D5" s="14" t="n">
        <f aca="false">B5-C5</f>
        <v>0.0412783527061945</v>
      </c>
      <c r="E5" s="14" t="n">
        <f aca="false">'HIW Final'!AA16</f>
        <v>0.0780230117618829</v>
      </c>
      <c r="F5" s="14" t="n">
        <f aca="false">E5-B5</f>
        <v>0.0127446590556884</v>
      </c>
      <c r="G5" s="14" t="n">
        <f aca="false">INDEX('CoStar - US Office'!$B:$B,MATCH(2017,'CoStar - US Office'!$A:$A,0))</f>
        <v>0.0954879748749349</v>
      </c>
      <c r="H5" s="14" t="n">
        <f aca="false">INDEX('CoStar - US Office'!$E:$E,MATCH(2017,'CoStar - US Office'!$A:$A,0))</f>
        <v>0.0238303537312997</v>
      </c>
      <c r="I5" s="14" t="n">
        <f aca="false">INDEX('CoStar - US Office'!$H:$H,MATCH(2017,'CoStar - US Office'!$A:$A,0))</f>
        <v>0.0069526825011159</v>
      </c>
      <c r="J5" s="15" t="n">
        <f aca="false">'HIW Final'!AB16</f>
        <v>15.319014015271</v>
      </c>
      <c r="K5" s="15" t="n">
        <f aca="false">'HIW Final'!AC16</f>
        <v>12.8167315951848</v>
      </c>
      <c r="L5" s="9" t="n">
        <f aca="false">'HIW Final'!B16</f>
        <v>465.849</v>
      </c>
      <c r="M5" s="9" t="n">
        <f aca="false">'HIW Final'!Q16</f>
        <v>7136.34736</v>
      </c>
      <c r="N5" s="9" t="n">
        <f aca="false">'HIW Final'!D16</f>
        <v>396.744</v>
      </c>
      <c r="O5" s="9" t="n">
        <f aca="false">'HIW Final'!K16</f>
        <v>5084.96136</v>
      </c>
      <c r="P5" s="14" t="n">
        <f aca="false">INDEX('Prime Rate'!$B:$B,MATCH(2017,'Prime Rate'!$A:$A,0))</f>
        <v>0.041</v>
      </c>
      <c r="Q5" s="9" t="n">
        <f aca="false">M5-L5</f>
        <v>6670.49836</v>
      </c>
      <c r="R5" s="9" t="n">
        <f aca="false">O5-N5</f>
        <v>4688.21736</v>
      </c>
      <c r="S5" s="23" t="n">
        <f aca="false">INDEX(Inflation!$G:$G,MATCH(2017,Inflation!$A:$A,0))</f>
        <v>0.0213162225786963</v>
      </c>
      <c r="T5" s="14" t="n">
        <f aca="false">INDEX('Green Street National'!$D:$D,MATCH(2017,'Green Street National'!$A:$A,0))</f>
        <v>0.05803697</v>
      </c>
      <c r="U5" s="9" t="n">
        <f aca="false">INDEX('Green Street National'!$F:$F,MATCH(2017,'Green Street National'!$A:$A,0))</f>
        <v>102.414193258894</v>
      </c>
      <c r="V5" s="9" t="n">
        <f aca="false">INDEX(Inflation!$D:$D,MATCH(2017,Inflation!$A:$A,0))</f>
        <v>102.196167016261</v>
      </c>
      <c r="W5" s="9" t="n">
        <f aca="false">INDEX(Inflation!$E:$E,MATCH(2017,Inflation!$A:$A,0))</f>
        <v>102.13162225787</v>
      </c>
      <c r="X5" s="9" t="n">
        <f aca="false">INDEX('CoStar - US Office'!$G:$G,MATCH(2017,'CoStar - US Office'!$A:$A,0))</f>
        <v>102.38303537313</v>
      </c>
      <c r="Y5" s="23" t="n">
        <f aca="false">INDEX('Green Street National'!$C:$C,MATCH(2017,'Green Street National'!$A:$A,0))</f>
        <v>0.00975579</v>
      </c>
      <c r="Z5" s="23" t="n">
        <f aca="false">INDEX('CoStar - US Office'!$D:$D,MATCH(2017,'CoStar - US Office'!$A:$A,0))</f>
        <v>0.00158557691641525</v>
      </c>
      <c r="AA5" s="9" t="n">
        <f aca="false">INDEX('CoStar - US Office'!$F:$F,MATCH(2017,'CoStar - US Office'!$A:$A,0))</f>
        <v>32.3851045859914</v>
      </c>
      <c r="AB5" s="23" t="n">
        <f aca="false">INDEX('CoStar - US Office'!$C:$C,MATCH(2017,'CoStar - US Office'!$A:$A,0))</f>
        <v>0.904512025125065</v>
      </c>
      <c r="AC5" s="9" t="n">
        <f aca="false">AC4*(1+INDEX('Green Street National'!$C:$C,MATCH(2017,'Green Street National'!$A:$A,0)))</f>
        <v>100.975579</v>
      </c>
      <c r="AE5" s="24" t="str">
        <f aca="false">IF(N(L4)=0,"",TEXT(L5/L4-1,"+0%;-0%"))</f>
        <v>+7%</v>
      </c>
      <c r="AF5" s="24" t="str">
        <f aca="false">IF(N(N4)=0,"",TEXT(N5/N4-1,"+0%;-0%"))</f>
        <v>+11%</v>
      </c>
    </row>
    <row r="6" customFormat="false" ht="15" hidden="false" customHeight="true" outlineLevel="0" collapsed="false">
      <c r="A6" s="22" t="n">
        <v>2018</v>
      </c>
      <c r="B6" s="14" t="n">
        <f aca="false">'HIW Final'!Z15</f>
        <v>0.0830905865327657</v>
      </c>
      <c r="C6" s="14" t="n">
        <f aca="false">'HIW Final'!Y15</f>
        <v>0.0269</v>
      </c>
      <c r="D6" s="14" t="n">
        <f aca="false">B6-C6</f>
        <v>0.0561905865327657</v>
      </c>
      <c r="E6" s="14" t="n">
        <f aca="false">'HIW Final'!AA15</f>
        <v>0.1120758844994</v>
      </c>
      <c r="F6" s="14" t="n">
        <f aca="false">E6-B6</f>
        <v>0.0289852979666338</v>
      </c>
      <c r="G6" s="14" t="n">
        <f aca="false">INDEX('CoStar - US Office'!$B:$B,MATCH(2018,'CoStar - US Office'!$A:$A,0))</f>
        <v>0.0932114558152037</v>
      </c>
      <c r="H6" s="14" t="n">
        <f aca="false">INDEX('CoStar - US Office'!$E:$E,MATCH(2018,'CoStar - US Office'!$A:$A,0))</f>
        <v>0.0302878208785191</v>
      </c>
      <c r="I6" s="14" t="n">
        <f aca="false">INDEX('CoStar - US Office'!$H:$H,MATCH(2018,'CoStar - US Office'!$A:$A,0))</f>
        <v>0.00664155934340847</v>
      </c>
      <c r="J6" s="15" t="n">
        <f aca="false">'HIW Final'!AB15</f>
        <v>12.035057660902</v>
      </c>
      <c r="K6" s="15" t="n">
        <f aca="false">'HIW Final'!AC15</f>
        <v>8.92252605872013</v>
      </c>
      <c r="L6" s="9" t="n">
        <f aca="false">'HIW Final'!B15</f>
        <v>477.62</v>
      </c>
      <c r="M6" s="9" t="n">
        <f aca="false">'HIW Final'!Q15</f>
        <v>5748.18424</v>
      </c>
      <c r="N6" s="9" t="n">
        <f aca="false">'HIW Final'!D15</f>
        <v>406.198</v>
      </c>
      <c r="O6" s="9" t="n">
        <f aca="false">'HIW Final'!K15</f>
        <v>3624.31224</v>
      </c>
      <c r="P6" s="14" t="n">
        <f aca="false">INDEX('Prime Rate'!$B:$B,MATCH(2018,'Prime Rate'!$A:$A,0))</f>
        <v>0.049</v>
      </c>
      <c r="Q6" s="9" t="n">
        <f aca="false">M6-L6</f>
        <v>5270.56424</v>
      </c>
      <c r="R6" s="9" t="n">
        <f aca="false">O6-N6</f>
        <v>3218.11424</v>
      </c>
      <c r="S6" s="23" t="n">
        <f aca="false">INDEX(Inflation!$G:$G,MATCH(2018,Inflation!$A:$A,0))</f>
        <v>0.0243920349541655</v>
      </c>
      <c r="T6" s="14" t="n">
        <f aca="false">INDEX('Green Street National'!$D:$D,MATCH(2018,'Green Street National'!$A:$A,0))</f>
        <v>0.0583128</v>
      </c>
      <c r="U6" s="9" t="n">
        <f aca="false">INDEX('Green Street National'!$F:$F,MATCH(2018,'Green Street National'!$A:$A,0))</f>
        <v>102.121786086096</v>
      </c>
      <c r="V6" s="9" t="n">
        <f aca="false">INDEX(Inflation!$D:$D,MATCH(2018,Inflation!$A:$A,0))</f>
        <v>106.491690421126</v>
      </c>
      <c r="W6" s="9" t="n">
        <f aca="false">INDEX(Inflation!$E:$E,MATCH(2018,Inflation!$A:$A,0))</f>
        <v>104.622820357909</v>
      </c>
      <c r="X6" s="9" t="n">
        <f aca="false">INDEX('CoStar - US Office'!$G:$G,MATCH(2018,'CoStar - US Office'!$A:$A,0))</f>
        <v>105.483994409511</v>
      </c>
      <c r="Y6" s="23" t="n">
        <f aca="false">INDEX('Green Street National'!$C:$C,MATCH(2018,'Green Street National'!$A:$A,0))</f>
        <v>0.02229099</v>
      </c>
      <c r="Z6" s="23" t="n">
        <f aca="false">INDEX('CoStar - US Office'!$D:$D,MATCH(2018,'CoStar - US Office'!$A:$A,0))</f>
        <v>0.00227651905973114</v>
      </c>
      <c r="AA6" s="9" t="n">
        <f aca="false">INDEX('CoStar - US Office'!$F:$F,MATCH(2018,'CoStar - US Office'!$A:$A,0))</f>
        <v>33.365978832824</v>
      </c>
      <c r="AB6" s="23" t="n">
        <f aca="false">INDEX('CoStar - US Office'!$C:$C,MATCH(2018,'CoStar - US Office'!$A:$A,0))</f>
        <v>0.906788544184796</v>
      </c>
      <c r="AC6" s="9" t="n">
        <f aca="false">AC5*(1+INDEX('Green Street National'!$C:$C,MATCH(2018,'Green Street National'!$A:$A,0)))</f>
        <v>103.226424621733</v>
      </c>
      <c r="AE6" s="24" t="str">
        <f aca="false">IF(N(L5)=0,"",TEXT(L6/L5-1,"+0%;-0%"))</f>
        <v>+3%</v>
      </c>
      <c r="AF6" s="24" t="str">
        <f aca="false">IF(N(N5)=0,"",TEXT(N6/N5-1,"+0%;-0%"))</f>
        <v>+2%</v>
      </c>
    </row>
    <row r="7" customFormat="false" ht="15" hidden="false" customHeight="true" outlineLevel="0" collapsed="false">
      <c r="A7" s="22" t="n">
        <v>2019</v>
      </c>
      <c r="B7" s="14" t="n">
        <f aca="false">'HIW Final'!Z14</f>
        <v>0.0652390593673995</v>
      </c>
      <c r="C7" s="14" t="n">
        <f aca="false">'HIW Final'!Y14</f>
        <v>0.0192</v>
      </c>
      <c r="D7" s="14" t="n">
        <f aca="false">B7-C7</f>
        <v>0.0460390593673995</v>
      </c>
      <c r="E7" s="14" t="n">
        <f aca="false">'HIW Final'!AA14</f>
        <v>0.0830502403815555</v>
      </c>
      <c r="F7" s="14" t="n">
        <f aca="false">E7-B7</f>
        <v>0.017811181014156</v>
      </c>
      <c r="G7" s="14" t="n">
        <f aca="false">INDEX('CoStar - US Office'!$B:$B,MATCH(2019,'CoStar - US Office'!$A:$A,0))</f>
        <v>0.0935992552144097</v>
      </c>
      <c r="H7" s="14" t="n">
        <f aca="false">INDEX('CoStar - US Office'!$E:$E,MATCH(2019,'CoStar - US Office'!$A:$A,0))</f>
        <v>0.0354820605592993</v>
      </c>
      <c r="I7" s="14" t="n">
        <f aca="false">INDEX('CoStar - US Office'!$H:$H,MATCH(2019,'CoStar - US Office'!$A:$A,0))</f>
        <v>0.0067202786358476</v>
      </c>
      <c r="J7" s="15" t="n">
        <f aca="false">'HIW Final'!AB14</f>
        <v>15.3282406229742</v>
      </c>
      <c r="K7" s="15" t="n">
        <f aca="false">'HIW Final'!AC14</f>
        <v>12.0409043418264</v>
      </c>
      <c r="L7" s="9" t="n">
        <f aca="false">'HIW Final'!B14</f>
        <v>487.468</v>
      </c>
      <c r="M7" s="9" t="n">
        <f aca="false">'HIW Final'!Q14</f>
        <v>7472.0268</v>
      </c>
      <c r="N7" s="9" t="n">
        <f aca="false">'HIW Final'!D14</f>
        <v>405.82</v>
      </c>
      <c r="O7" s="9" t="n">
        <f aca="false">'HIW Final'!K14</f>
        <v>4886.4398</v>
      </c>
      <c r="P7" s="14" t="n">
        <f aca="false">INDEX('Prime Rate'!$B:$B,MATCH(2019,'Prime Rate'!$A:$A,0))</f>
        <v>0.0528</v>
      </c>
      <c r="Q7" s="9" t="n">
        <f aca="false">M7-L7</f>
        <v>6984.5588</v>
      </c>
      <c r="R7" s="9" t="n">
        <f aca="false">O7-N7</f>
        <v>4480.6198</v>
      </c>
      <c r="S7" s="23" t="n">
        <f aca="false">INDEX(Inflation!$G:$G,MATCH(2019,Inflation!$A:$A,0))</f>
        <v>0.0181322182397452</v>
      </c>
      <c r="T7" s="14" t="n">
        <f aca="false">INDEX('Green Street National'!$D:$D,MATCH(2019,'Green Street National'!$A:$A,0))</f>
        <v>0.05915908</v>
      </c>
      <c r="U7" s="9" t="n">
        <f aca="false">INDEX('Green Street National'!$F:$F,MATCH(2019,'Green Street National'!$A:$A,0))</f>
        <v>104.704183104862</v>
      </c>
      <c r="V7" s="9" t="n">
        <f aca="false">INDEX(Inflation!$D:$D,MATCH(2019,Inflation!$A:$A,0))</f>
        <v>111.952526936661</v>
      </c>
      <c r="W7" s="9" t="n">
        <f aca="false">INDEX(Inflation!$E:$E,MATCH(2019,Inflation!$A:$A,0))</f>
        <v>106.519864169497</v>
      </c>
      <c r="X7" s="9" t="n">
        <f aca="false">INDEX('CoStar - US Office'!$G:$G,MATCH(2019,'CoStar - US Office'!$A:$A,0))</f>
        <v>109.226783887186</v>
      </c>
      <c r="Y7" s="23" t="n">
        <f aca="false">INDEX('Green Street National'!$C:$C,MATCH(2019,'Green Street National'!$A:$A,0))</f>
        <v>0.03556294</v>
      </c>
      <c r="Z7" s="23" t="n">
        <f aca="false">INDEX('CoStar - US Office'!$D:$D,MATCH(2019,'CoStar - US Office'!$A:$A,0))</f>
        <v>-0.000387799399205968</v>
      </c>
      <c r="AA7" s="9" t="n">
        <f aca="false">INDEX('CoStar - US Office'!$F:$F,MATCH(2019,'CoStar - US Office'!$A:$A,0))</f>
        <v>34.5498725143906</v>
      </c>
      <c r="AB7" s="23" t="n">
        <f aca="false">INDEX('CoStar - US Office'!$C:$C,MATCH(2019,'CoStar - US Office'!$A:$A,0))</f>
        <v>0.90640074478559</v>
      </c>
      <c r="AC7" s="9" t="n">
        <f aca="false">AC6*(1+INDEX('Green Street National'!$C:$C,MATCH(2019,'Green Street National'!$A:$A,0)))</f>
        <v>106.89745976697</v>
      </c>
      <c r="AE7" s="24" t="str">
        <f aca="false">IF(N(L6)=0,"",TEXT(L7/L6-1,"+0%;-0%"))</f>
        <v>+2%</v>
      </c>
      <c r="AF7" s="24" t="str">
        <f aca="false">IF(N(N6)=0,"",TEXT(N7/N6-1,"+0%;-0%"))</f>
        <v>-0%</v>
      </c>
    </row>
    <row r="8" customFormat="false" ht="15" hidden="false" customHeight="true" outlineLevel="0" collapsed="false">
      <c r="A8" s="22" t="n">
        <v>2020</v>
      </c>
      <c r="B8" s="14" t="n">
        <f aca="false">'HIW Final'!Z13</f>
        <v>0.0812876245562147</v>
      </c>
      <c r="C8" s="14" t="n">
        <f aca="false">'HIW Final'!Y13</f>
        <v>0.0093</v>
      </c>
      <c r="D8" s="14" t="n">
        <f aca="false">B8-C8</f>
        <v>0.0719876245562147</v>
      </c>
      <c r="E8" s="14" t="n">
        <f aca="false">'HIW Final'!AA13</f>
        <v>0.114606475032769</v>
      </c>
      <c r="F8" s="14" t="n">
        <f aca="false">E8-B8</f>
        <v>0.0333188504765544</v>
      </c>
      <c r="G8" s="14" t="n">
        <f aca="false">INDEX('CoStar - US Office'!$B:$B,MATCH(2020,'CoStar - US Office'!$A:$A,0))</f>
        <v>0.107657163277639</v>
      </c>
      <c r="H8" s="14" t="n">
        <f aca="false">INDEX('CoStar - US Office'!$E:$E,MATCH(2020,'CoStar - US Office'!$A:$A,0))</f>
        <v>-0.0155535025524075</v>
      </c>
      <c r="I8" s="14" t="n">
        <f aca="false">INDEX('CoStar - US Office'!$H:$H,MATCH(2020,'CoStar - US Office'!$A:$A,0))</f>
        <v>0.00631100374992295</v>
      </c>
      <c r="J8" s="15" t="n">
        <f aca="false">'HIW Final'!AB13</f>
        <v>12.3019956046132</v>
      </c>
      <c r="K8" s="15" t="n">
        <f aca="false">'HIW Final'!AC13</f>
        <v>8.72551048894988</v>
      </c>
      <c r="L8" s="9" t="n">
        <f aca="false">'HIW Final'!B13</f>
        <v>505.075</v>
      </c>
      <c r="M8" s="9" t="n">
        <f aca="false">'HIW Final'!Q13</f>
        <v>6213.43043</v>
      </c>
      <c r="N8" s="9" t="n">
        <f aca="false">'HIW Final'!D13</f>
        <v>424.113</v>
      </c>
      <c r="O8" s="9" t="n">
        <f aca="false">'HIW Final'!K13</f>
        <v>3700.60243</v>
      </c>
      <c r="P8" s="14" t="n">
        <f aca="false">INDEX('Prime Rate'!$B:$B,MATCH(2020,'Prime Rate'!$A:$A,0))</f>
        <v>0.0354</v>
      </c>
      <c r="Q8" s="9" t="n">
        <f aca="false">M8-L8</f>
        <v>5708.35543</v>
      </c>
      <c r="R8" s="9" t="n">
        <f aca="false">O8-N8</f>
        <v>3276.48943</v>
      </c>
      <c r="S8" s="23" t="n">
        <f aca="false">INDEX(Inflation!$G:$G,MATCH(2020,Inflation!$A:$A,0))</f>
        <v>0.0125287010127009</v>
      </c>
      <c r="T8" s="14" t="n">
        <f aca="false">INDEX('Green Street National'!$D:$D,MATCH(2020,'Green Street National'!$A:$A,0))</f>
        <v>0.06399001</v>
      </c>
      <c r="U8" s="9" t="n">
        <f aca="false">INDEX('Green Street National'!$F:$F,MATCH(2020,'Green Street National'!$A:$A,0))</f>
        <v>97.1388418279712</v>
      </c>
      <c r="V8" s="9" t="n">
        <f aca="false">INDEX(Inflation!$D:$D,MATCH(2020,Inflation!$A:$A,0))</f>
        <v>114.716111798347</v>
      </c>
      <c r="W8" s="9" t="n">
        <f aca="false">INDEX(Inflation!$E:$E,MATCH(2020,Inflation!$A:$A,0))</f>
        <v>107.85441969959</v>
      </c>
      <c r="X8" s="9" t="n">
        <f aca="false">INDEX('CoStar - US Office'!$G:$G,MATCH(2020,'CoStar - US Office'!$A:$A,0))</f>
        <v>107.527924825205</v>
      </c>
      <c r="Y8" s="23" t="n">
        <f aca="false">INDEX('Green Street National'!$C:$C,MATCH(2020,'Green Street National'!$A:$A,0))</f>
        <v>-0.07888407</v>
      </c>
      <c r="Z8" s="23" t="n">
        <f aca="false">INDEX('CoStar - US Office'!$D:$D,MATCH(2020,'CoStar - US Office'!$A:$A,0))</f>
        <v>-0.0140579080632293</v>
      </c>
      <c r="AA8" s="9" t="n">
        <f aca="false">INDEX('CoStar - US Office'!$F:$F,MATCH(2020,'CoStar - US Office'!$A:$A,0))</f>
        <v>34.0125009840526</v>
      </c>
      <c r="AB8" s="23" t="n">
        <f aca="false">INDEX('CoStar - US Office'!$C:$C,MATCH(2020,'CoStar - US Office'!$A:$A,0))</f>
        <v>0.892342836722361</v>
      </c>
      <c r="AC8" s="9" t="n">
        <f aca="false">AC7*(1+INDEX('Green Street National'!$C:$C,MATCH(2020,'Green Street National'!$A:$A,0)))</f>
        <v>98.4649530678906</v>
      </c>
      <c r="AE8" s="24" t="str">
        <f aca="false">IF(N(L7)=0,"",TEXT(L8/L7-1,"+0%;-0%"))</f>
        <v>+4%</v>
      </c>
      <c r="AF8" s="24" t="str">
        <f aca="false">IF(N(N7)=0,"",TEXT(N8/N7-1,"+0%;-0%"))</f>
        <v>+5%</v>
      </c>
    </row>
    <row r="9" customFormat="false" ht="15" hidden="false" customHeight="true" outlineLevel="0" collapsed="false">
      <c r="A9" s="22" t="n">
        <v>2021</v>
      </c>
      <c r="B9" s="14" t="n">
        <f aca="false">'HIW Final'!Z12</f>
        <v>0.0728234536513202</v>
      </c>
      <c r="C9" s="14" t="n">
        <f aca="false">'HIW Final'!Y12</f>
        <v>0.0152</v>
      </c>
      <c r="D9" s="14" t="n">
        <f aca="false">B9-C9</f>
        <v>0.0576234536513202</v>
      </c>
      <c r="E9" s="14" t="n">
        <f aca="false">'HIW Final'!AA12</f>
        <v>0.0997912278084142</v>
      </c>
      <c r="F9" s="14" t="n">
        <f aca="false">E9-B9</f>
        <v>0.026967774157094</v>
      </c>
      <c r="G9" s="14" t="n">
        <f aca="false">INDEX('CoStar - US Office'!$B:$B,MATCH(2021,'CoStar - US Office'!$A:$A,0))</f>
        <v>0.118179744708771</v>
      </c>
      <c r="H9" s="14" t="n">
        <f aca="false">INDEX('CoStar - US Office'!$E:$E,MATCH(2021,'CoStar - US Office'!$A:$A,0))</f>
        <v>0.00888497006002991</v>
      </c>
      <c r="I9" s="14" t="n">
        <f aca="false">INDEX('CoStar - US Office'!$H:$H,MATCH(2021,'CoStar - US Office'!$A:$A,0))</f>
        <v>0.00599925350302214</v>
      </c>
      <c r="J9" s="15" t="n">
        <f aca="false">'HIW Final'!AB12</f>
        <v>13.7318398106744</v>
      </c>
      <c r="K9" s="15" t="n">
        <f aca="false">'HIW Final'!AC12</f>
        <v>10.020920896172</v>
      </c>
      <c r="L9" s="9" t="n">
        <f aca="false">'HIW Final'!B12</f>
        <v>531.571</v>
      </c>
      <c r="M9" s="9" t="n">
        <f aca="false">'HIW Final'!Q12</f>
        <v>7299.44782</v>
      </c>
      <c r="N9" s="9" t="n">
        <f aca="false">'HIW Final'!D12</f>
        <v>445.718</v>
      </c>
      <c r="O9" s="9" t="n">
        <f aca="false">'HIW Final'!K12</f>
        <v>4466.50482</v>
      </c>
      <c r="P9" s="14" t="n">
        <f aca="false">INDEX('Prime Rate'!$B:$B,MATCH(2021,'Prime Rate'!$A:$A,0))</f>
        <v>0.0325</v>
      </c>
      <c r="Q9" s="9" t="n">
        <f aca="false">M9-L9</f>
        <v>6767.87682</v>
      </c>
      <c r="R9" s="9" t="n">
        <f aca="false">O9-N9</f>
        <v>4020.78682</v>
      </c>
      <c r="S9" s="23" t="n">
        <f aca="false">INDEX(Inflation!$G:$G,MATCH(2021,Inflation!$A:$A,0))</f>
        <v>0.0468098093148315</v>
      </c>
      <c r="T9" s="14" t="n">
        <f aca="false">INDEX('Green Street National'!$D:$D,MATCH(2021,'Green Street National'!$A:$A,0))</f>
        <v>0.06497242</v>
      </c>
      <c r="U9" s="9" t="n">
        <f aca="false">INDEX('Green Street National'!$F:$F,MATCH(2021,'Green Street National'!$A:$A,0))</f>
        <v>96.7262233029072</v>
      </c>
      <c r="V9" s="9" t="n">
        <f aca="false">INDEX(Inflation!$D:$D,MATCH(2021,Inflation!$A:$A,0))</f>
        <v>120.671758188566</v>
      </c>
      <c r="W9" s="9" t="n">
        <f aca="false">INDEX(Inflation!$E:$E,MATCH(2021,Inflation!$A:$A,0))</f>
        <v>112.903064519489</v>
      </c>
      <c r="X9" s="9" t="n">
        <f aca="false">INDEX('CoStar - US Office'!$G:$G,MATCH(2021,'CoStar - US Office'!$A:$A,0))</f>
        <v>108.483307217894</v>
      </c>
      <c r="Y9" s="23" t="n">
        <f aca="false">INDEX('Green Street National'!$C:$C,MATCH(2021,'Green Street National'!$A:$A,0))</f>
        <v>-0.05368289</v>
      </c>
      <c r="Z9" s="23" t="n">
        <f aca="false">INDEX('CoStar - US Office'!$D:$D,MATCH(2021,'CoStar - US Office'!$A:$A,0))</f>
        <v>-0.0105225814311321</v>
      </c>
      <c r="AA9" s="9" t="n">
        <f aca="false">INDEX('CoStar - US Office'!$F:$F,MATCH(2021,'CoStar - US Office'!$A:$A,0))</f>
        <v>34.3147010369627</v>
      </c>
      <c r="AB9" s="23" t="n">
        <f aca="false">INDEX('CoStar - US Office'!$C:$C,MATCH(2021,'CoStar - US Office'!$A:$A,0))</f>
        <v>0.881820255291229</v>
      </c>
      <c r="AC9" s="9" t="n">
        <f aca="false">AC8*(1+INDEX('Green Street National'!$C:$C,MATCH(2021,'Green Street National'!$A:$A,0)))</f>
        <v>93.1790698234918</v>
      </c>
      <c r="AE9" s="24" t="str">
        <f aca="false">IF(N(L8)=0,"",TEXT(L9/L8-1,"+0%;-0%"))</f>
        <v>+5%</v>
      </c>
      <c r="AF9" s="24" t="str">
        <f aca="false">IF(N(N8)=0,"",TEXT(N9/N8-1,"+0%;-0%"))</f>
        <v>+5%</v>
      </c>
    </row>
    <row r="10" customFormat="false" ht="15" hidden="false" customHeight="true" outlineLevel="0" collapsed="false">
      <c r="A10" s="22" t="n">
        <v>2022</v>
      </c>
      <c r="B10" s="14" t="n">
        <f aca="false">'HIW Final'!Z11</f>
        <v>0.0970893873523745</v>
      </c>
      <c r="C10" s="14" t="n">
        <f aca="false">'HIW Final'!Y11</f>
        <v>0.0388</v>
      </c>
      <c r="D10" s="14" t="n">
        <f aca="false">B10-C10</f>
        <v>0.0582893873523745</v>
      </c>
      <c r="E10" s="14" t="n">
        <f aca="false">'HIW Final'!AA11</f>
        <v>0.177038656798322</v>
      </c>
      <c r="F10" s="14" t="n">
        <f aca="false">E10-B10</f>
        <v>0.0799492694459473</v>
      </c>
      <c r="G10" s="14" t="n">
        <f aca="false">INDEX('CoStar - US Office'!$B:$B,MATCH(2022,'CoStar - US Office'!$A:$A,0))</f>
        <v>0.123824681505529</v>
      </c>
      <c r="H10" s="14" t="n">
        <f aca="false">INDEX('CoStar - US Office'!$E:$E,MATCH(2022,'CoStar - US Office'!$A:$A,0))</f>
        <v>0.0187735469192038</v>
      </c>
      <c r="I10" s="14" t="n">
        <f aca="false">INDEX('CoStar - US Office'!$H:$H,MATCH(2022,'CoStar - US Office'!$A:$A,0))</f>
        <v>0.00478830885082243</v>
      </c>
      <c r="J10" s="15" t="n">
        <f aca="false">'HIW Final'!AB11</f>
        <v>10.2997869001956</v>
      </c>
      <c r="K10" s="15" t="n">
        <f aca="false">'HIW Final'!AC11</f>
        <v>5.6484838852973</v>
      </c>
      <c r="L10" s="9" t="n">
        <f aca="false">'HIW Final'!B11</f>
        <v>569.123</v>
      </c>
      <c r="M10" s="9" t="n">
        <f aca="false">'HIW Final'!Q11</f>
        <v>5861.84562</v>
      </c>
      <c r="N10" s="9" t="n">
        <f aca="false">'HIW Final'!D11</f>
        <v>463.738</v>
      </c>
      <c r="O10" s="9" t="n">
        <f aca="false">'HIW Final'!K11</f>
        <v>2619.41662</v>
      </c>
      <c r="P10" s="14" t="n">
        <f aca="false">INDEX('Prime Rate'!$B:$B,MATCH(2022,'Prime Rate'!$A:$A,0))</f>
        <v>0.0485</v>
      </c>
      <c r="Q10" s="9" t="n">
        <f aca="false">M10-L10</f>
        <v>5292.72262</v>
      </c>
      <c r="R10" s="9" t="n">
        <f aca="false">O10-N10</f>
        <v>2155.67862</v>
      </c>
      <c r="S10" s="23" t="n">
        <f aca="false">INDEX(Inflation!$G:$G,MATCH(2022,Inflation!$A:$A,0))</f>
        <v>0.0799083303502561</v>
      </c>
      <c r="T10" s="14" t="n">
        <f aca="false">INDEX('Green Street National'!$D:$D,MATCH(2022,'Green Street National'!$A:$A,0))</f>
        <v>0.07948753</v>
      </c>
      <c r="U10" s="9" t="n">
        <f aca="false">INDEX('Green Street National'!$F:$F,MATCH(2022,'Green Street National'!$A:$A,0))</f>
        <v>75.3039532955945</v>
      </c>
      <c r="V10" s="9" t="n">
        <f aca="false">INDEX(Inflation!$D:$D,MATCH(2022,Inflation!$A:$A,0))</f>
        <v>144.713064056365</v>
      </c>
      <c r="W10" s="9" t="n">
        <f aca="false">INDEX(Inflation!$E:$E,MATCH(2022,Inflation!$A:$A,0))</f>
        <v>121.924959896669</v>
      </c>
      <c r="X10" s="9" t="n">
        <f aca="false">INDEX('CoStar - US Office'!$G:$G,MATCH(2022,'CoStar - US Office'!$A:$A,0))</f>
        <v>110.5199236759</v>
      </c>
      <c r="Y10" s="23" t="n">
        <f aca="false">INDEX('Green Street National'!$C:$C,MATCH(2022,'Green Street National'!$A:$A,0))</f>
        <v>-0.03718453</v>
      </c>
      <c r="Z10" s="23" t="n">
        <f aca="false">INDEX('CoStar - US Office'!$D:$D,MATCH(2022,'CoStar - US Office'!$A:$A,0))</f>
        <v>-0.00564493679675804</v>
      </c>
      <c r="AA10" s="9" t="n">
        <f aca="false">INDEX('CoStar - US Office'!$F:$F,MATCH(2022,'CoStar - US Office'!$A:$A,0))</f>
        <v>34.9589096868985</v>
      </c>
      <c r="AB10" s="23" t="n">
        <f aca="false">INDEX('CoStar - US Office'!$C:$C,MATCH(2022,'CoStar - US Office'!$A:$A,0))</f>
        <v>0.876175318494471</v>
      </c>
      <c r="AC10" s="9" t="n">
        <f aca="false">AC9*(1+INDEX('Green Street National'!$C:$C,MATCH(2022,'Green Street National'!$A:$A,0)))</f>
        <v>89.7142499062681</v>
      </c>
      <c r="AE10" s="24" t="str">
        <f aca="false">IF(N(L9)=0,"",TEXT(L10/L9-1,"+0%;-0%"))</f>
        <v>+7%</v>
      </c>
      <c r="AF10" s="24" t="str">
        <f aca="false">IF(N(N9)=0,"",TEXT(N10/N9-1,"+0%;-0%"))</f>
        <v>+4%</v>
      </c>
    </row>
    <row r="11" customFormat="false" ht="15" hidden="false" customHeight="true" outlineLevel="0" collapsed="false">
      <c r="A11" s="22" t="n">
        <v>2023</v>
      </c>
      <c r="B11" s="14" t="n">
        <f aca="false">'HIW Final'!Z10</f>
        <v>0.108010544209411</v>
      </c>
      <c r="C11" s="14" t="n">
        <f aca="false">'HIW Final'!Y10</f>
        <v>0.0388</v>
      </c>
      <c r="D11" s="14" t="n">
        <f aca="false">B11-C11</f>
        <v>0.0692105442094114</v>
      </c>
      <c r="E11" s="14" t="n">
        <f aca="false">'HIW Final'!AA10</f>
        <v>0.217161891698123</v>
      </c>
      <c r="F11" s="14" t="n">
        <f aca="false">E11-B11</f>
        <v>0.109151347488711</v>
      </c>
      <c r="G11" s="14" t="n">
        <f aca="false">INDEX('CoStar - US Office'!$B:$B,MATCH(2023,'CoStar - US Office'!$A:$A,0))</f>
        <v>0.134795325216733</v>
      </c>
      <c r="H11" s="14" t="n">
        <f aca="false">INDEX('CoStar - US Office'!$E:$E,MATCH(2023,'CoStar - US Office'!$A:$A,0))</f>
        <v>0.0103504011943532</v>
      </c>
      <c r="I11" s="14" t="n">
        <f aca="false">INDEX('CoStar - US Office'!$H:$H,MATCH(2023,'CoStar - US Office'!$A:$A,0))</f>
        <v>0.00346617437648096</v>
      </c>
      <c r="J11" s="15" t="n">
        <f aca="false">'HIW Final'!AB10</f>
        <v>9.25835535150341</v>
      </c>
      <c r="K11" s="15" t="n">
        <f aca="false">'HIW Final'!AC10</f>
        <v>4.60485949988915</v>
      </c>
      <c r="L11" s="9" t="n">
        <f aca="false">'HIW Final'!B10</f>
        <v>565.215</v>
      </c>
      <c r="M11" s="9" t="n">
        <f aca="false">'HIW Final'!Q10</f>
        <v>5232.96132</v>
      </c>
      <c r="N11" s="9" t="n">
        <f aca="false">'HIW Final'!D10</f>
        <v>428.505</v>
      </c>
      <c r="O11" s="9" t="n">
        <f aca="false">'HIW Final'!K10</f>
        <v>1973.20532</v>
      </c>
      <c r="P11" s="14" t="n">
        <f aca="false">INDEX('Prime Rate'!$B:$B,MATCH(2023,'Prime Rate'!$A:$A,0))</f>
        <v>0.0819</v>
      </c>
      <c r="Q11" s="9" t="n">
        <f aca="false">M11-L11</f>
        <v>4667.74632</v>
      </c>
      <c r="R11" s="9" t="n">
        <f aca="false">O11-N11</f>
        <v>1544.70032</v>
      </c>
      <c r="S11" s="23" t="n">
        <f aca="false">INDEX(Inflation!$G:$G,MATCH(2023,Inflation!$A:$A,0))</f>
        <v>0.0412711105643382</v>
      </c>
      <c r="T11" s="14" t="n">
        <f aca="false">INDEX('Green Street National'!$D:$D,MATCH(2023,'Green Street National'!$A:$A,0))</f>
        <v>0.10690485</v>
      </c>
      <c r="U11" s="9" t="n">
        <f aca="false">INDEX('Green Street National'!$F:$F,MATCH(2023,'Green Street National'!$A:$A,0))</f>
        <v>44.7050530590909</v>
      </c>
      <c r="V11" s="9" t="n">
        <f aca="false">INDEX(Inflation!$D:$D,MATCH(2023,Inflation!$A:$A,0))</f>
        <v>156.117893831012</v>
      </c>
      <c r="W11" s="9" t="n">
        <f aca="false">INDEX(Inflation!$E:$E,MATCH(2023,Inflation!$A:$A,0))</f>
        <v>126.956938397117</v>
      </c>
      <c r="X11" s="9" t="n">
        <f aca="false">INDEX('CoStar - US Office'!$G:$G,MATCH(2023,'CoStar - US Office'!$A:$A,0))</f>
        <v>111.663849225915</v>
      </c>
      <c r="Y11" s="23" t="n">
        <f aca="false">INDEX('Green Street National'!$C:$C,MATCH(2023,'Green Street National'!$A:$A,0))</f>
        <v>-0.05284114</v>
      </c>
      <c r="Z11" s="23" t="n">
        <f aca="false">INDEX('CoStar - US Office'!$D:$D,MATCH(2023,'CoStar - US Office'!$A:$A,0))</f>
        <v>-0.0109706437112039</v>
      </c>
      <c r="AA11" s="9" t="n">
        <f aca="false">INDEX('CoStar - US Office'!$F:$F,MATCH(2023,'CoStar - US Office'!$A:$A,0))</f>
        <v>35.3207484274751</v>
      </c>
      <c r="AB11" s="23" t="n">
        <f aca="false">INDEX('CoStar - US Office'!$C:$C,MATCH(2023,'CoStar - US Office'!$A:$A,0))</f>
        <v>0.865204674783267</v>
      </c>
      <c r="AC11" s="9" t="n">
        <f aca="false">AC10*(1+INDEX('Green Street National'!$C:$C,MATCH(2023,'Green Street National'!$A:$A,0)))</f>
        <v>84.973646666976</v>
      </c>
      <c r="AE11" s="24" t="str">
        <f aca="false">IF(N(L10)=0,"",TEXT(L11/L10-1,"+0%;-0%"))</f>
        <v>-1%</v>
      </c>
      <c r="AF11" s="24" t="str">
        <f aca="false">IF(N(N10)=0,"",TEXT(N11/N10-1,"+0%;-0%"))</f>
        <v>-8%</v>
      </c>
    </row>
    <row r="12" customFormat="false" ht="15" hidden="false" customHeight="true" outlineLevel="0" collapsed="false">
      <c r="A12" s="22" t="n">
        <v>2024</v>
      </c>
      <c r="B12" s="14" t="n">
        <f aca="false">'HIW Final'!Z9</f>
        <v>0.090698486409249</v>
      </c>
      <c r="C12" s="14" t="n">
        <f aca="false">'HIW Final'!Y9</f>
        <v>0.0458</v>
      </c>
      <c r="D12" s="14" t="n">
        <f aca="false">B12-C12</f>
        <v>0.044898486409249</v>
      </c>
      <c r="E12" s="14" t="n">
        <f aca="false">'HIW Final'!AA9</f>
        <v>0.146858486522049</v>
      </c>
      <c r="F12" s="14" t="n">
        <f aca="false">E12-B12</f>
        <v>0.0561600001127995</v>
      </c>
      <c r="G12" s="14" t="n">
        <f aca="false">INDEX('CoStar - US Office'!$B:$B,MATCH(2024,'CoStar - US Office'!$A:$A,0))</f>
        <v>0.139554020907488</v>
      </c>
      <c r="H12" s="14" t="n">
        <f aca="false">INDEX('CoStar - US Office'!$E:$E,MATCH(2024,'CoStar - US Office'!$A:$A,0))</f>
        <v>0.019598676299831</v>
      </c>
      <c r="I12" s="14" t="n">
        <f aca="false">INDEX('CoStar - US Office'!$H:$H,MATCH(2024,'CoStar - US Office'!$A:$A,0))</f>
        <v>0.00153700761683326</v>
      </c>
      <c r="J12" s="15" t="n">
        <f aca="false">'HIW Final'!AB9</f>
        <v>11.0255423170769</v>
      </c>
      <c r="K12" s="15" t="n">
        <f aca="false">'HIW Final'!AC9</f>
        <v>6.80927622013772</v>
      </c>
      <c r="L12" s="9" t="n">
        <f aca="false">'HIW Final'!B9</f>
        <v>553.689</v>
      </c>
      <c r="M12" s="9" t="n">
        <f aca="false">'HIW Final'!Q9</f>
        <v>6104.7215</v>
      </c>
      <c r="N12" s="9" t="n">
        <f aca="false">'HIW Final'!D9</f>
        <v>406.491</v>
      </c>
      <c r="O12" s="9" t="n">
        <f aca="false">'HIW Final'!K9</f>
        <v>2767.9095</v>
      </c>
      <c r="P12" s="14" t="n">
        <f aca="false">INDEX('Prime Rate'!$B:$B,MATCH(2024,'Prime Rate'!$A:$A,0))</f>
        <v>0.0831</v>
      </c>
      <c r="Q12" s="9" t="n">
        <f aca="false">M12-L12</f>
        <v>5551.0325</v>
      </c>
      <c r="R12" s="9" t="n">
        <f aca="false">O12-N12</f>
        <v>2361.4185</v>
      </c>
      <c r="S12" s="23" t="n">
        <f aca="false">INDEX(Inflation!$G:$G,MATCH(2024,Inflation!$A:$A,0))</f>
        <v>0.0295205495187116</v>
      </c>
      <c r="T12" s="14" t="n">
        <f aca="false">INDEX('Green Street National'!$D:$D,MATCH(2024,'Green Street National'!$A:$A,0))</f>
        <v>0.10737802</v>
      </c>
      <c r="U12" s="9" t="n">
        <f aca="false">INDEX('Green Street National'!$F:$F,MATCH(2024,'Green Street National'!$A:$A,0))</f>
        <v>43.6731644078836</v>
      </c>
      <c r="V12" s="9" t="n">
        <f aca="false">INDEX(Inflation!$D:$D,MATCH(2024,Inflation!$A:$A,0))</f>
        <v>156.281037666505</v>
      </c>
      <c r="W12" s="9" t="n">
        <f aca="false">INDEX(Inflation!$E:$E,MATCH(2024,Inflation!$A:$A,0))</f>
        <v>130.704776983813</v>
      </c>
      <c r="X12" s="9" t="n">
        <f aca="false">INDEX('CoStar - US Office'!$G:$G,MATCH(2024,'CoStar - US Office'!$A:$A,0))</f>
        <v>113.852312861286</v>
      </c>
      <c r="Y12" s="23" t="n">
        <f aca="false">INDEX('Green Street National'!$C:$C,MATCH(2024,'Green Street National'!$A:$A,0))</f>
        <v>-0.01855455</v>
      </c>
      <c r="Z12" s="23" t="n">
        <f aca="false">INDEX('CoStar - US Office'!$D:$D,MATCH(2024,'CoStar - US Office'!$A:$A,0))</f>
        <v>-0.00475869569075504</v>
      </c>
      <c r="AA12" s="9" t="n">
        <f aca="false">INDEX('CoStar - US Office'!$F:$F,MATCH(2024,'CoStar - US Office'!$A:$A,0))</f>
        <v>36.0129883425729</v>
      </c>
      <c r="AB12" s="23" t="n">
        <f aca="false">INDEX('CoStar - US Office'!$C:$C,MATCH(2024,'CoStar - US Office'!$A:$A,0))</f>
        <v>0.860445979092512</v>
      </c>
      <c r="AC12" s="9" t="n">
        <f aca="false">AC11*(1+INDEX('Green Street National'!$C:$C,MATCH(2024,'Green Street National'!$A:$A,0)))</f>
        <v>83.3969988912113</v>
      </c>
      <c r="AE12" s="24" t="str">
        <f aca="false">IF(N(L11)=0,"",TEXT(L12/L11-1,"+0%;-0%"))</f>
        <v>-2%</v>
      </c>
      <c r="AF12" s="24" t="str">
        <f aca="false">IF(N(N11)=0,"",TEXT(N12/N11-1,"+0%;-0%"))</f>
        <v>-5%</v>
      </c>
    </row>
    <row r="13" customFormat="false" ht="15" hidden="false" customHeight="true" outlineLevel="0" collapsed="false">
      <c r="A13" s="22" t="n">
        <v>2025</v>
      </c>
      <c r="B13" s="14" t="n">
        <f aca="false">'HIW Final'!Z8</f>
        <v>0.092620222260445</v>
      </c>
      <c r="C13" s="14" t="n">
        <f aca="false">'HIW Final'!Y8</f>
        <v>0.0418</v>
      </c>
      <c r="D13" s="14" t="n">
        <f aca="false">B13-C13</f>
        <v>0.050820222260445</v>
      </c>
      <c r="E13" s="14" t="n">
        <f aca="false">'HIW Final'!AA8</f>
        <v>0.171719001904761</v>
      </c>
      <c r="F13" s="14" t="n">
        <f aca="false">E13-B13</f>
        <v>0.0790987796443155</v>
      </c>
      <c r="G13" s="14" t="n">
        <f aca="false">INDEX('CoStar - US Office'!$B:$B,MATCH(2025,'CoStar - US Office'!$A:$A,0))</f>
        <v>0.140381422408093</v>
      </c>
      <c r="H13" s="14" t="n">
        <f aca="false">INDEX('CoStar - US Office'!$E:$E,MATCH(2025,'CoStar - US Office'!$A:$A,0))</f>
        <v>0.0206668157739647</v>
      </c>
      <c r="I13" s="14" t="n">
        <f aca="false">INDEX('CoStar - US Office'!$H:$H,MATCH(2025,'CoStar - US Office'!$A:$A,0))</f>
        <v>-0.00016404557269249</v>
      </c>
      <c r="J13" s="15" t="n">
        <f aca="false">'HIW Final'!AB8</f>
        <v>10.7967782369171</v>
      </c>
      <c r="K13" s="15" t="n">
        <f aca="false">'HIW Final'!AC8</f>
        <v>5.82346734436894</v>
      </c>
      <c r="L13" s="9" t="n">
        <f aca="false">'HIW Final'!B8</f>
        <v>544.739</v>
      </c>
      <c r="M13" s="9" t="n">
        <f aca="false">'HIW Final'!Q8</f>
        <v>5881.42618</v>
      </c>
      <c r="N13" s="9" t="n">
        <f aca="false">'HIW Final'!D8</f>
        <v>392.306</v>
      </c>
      <c r="O13" s="9" t="n">
        <f aca="false">'HIW Final'!K8</f>
        <v>2284.58118</v>
      </c>
      <c r="P13" s="14" t="n">
        <f aca="false">INDEX('Prime Rate'!$B:$B,MATCH(2025,'Prime Rate'!$A:$A,0))</f>
        <v>0.0737</v>
      </c>
      <c r="Q13" s="9" t="n">
        <f aca="false">M13-L13</f>
        <v>5336.68718</v>
      </c>
      <c r="R13" s="9" t="n">
        <f aca="false">O13-N13</f>
        <v>1892.27518</v>
      </c>
      <c r="S13" s="23" t="n">
        <f aca="false">INDEX(Inflation!$G:$G,MATCH(2025,Inflation!$A:$A,0))</f>
        <v>0.0263438083762091</v>
      </c>
      <c r="T13" s="14" t="n">
        <f aca="false">INDEX('Green Street National'!$D:$D,MATCH(2025,'Green Street National'!$A:$A,0))</f>
        <v>0.1048993</v>
      </c>
      <c r="U13" s="9" t="n">
        <f aca="false">INDEX('Green Street National'!$F:$F,MATCH(2025,'Green Street National'!$A:$A,0))</f>
        <v>44.169712307612</v>
      </c>
      <c r="V13" s="9" t="n">
        <f aca="false">INDEX(Inflation!$D:$D,MATCH(2025,Inflation!$A:$A,0))</f>
        <v>158.821420247764</v>
      </c>
      <c r="W13" s="9" t="n">
        <f aca="false">INDEX(Inflation!$E:$E,MATCH(2025,Inflation!$A:$A,0))</f>
        <v>134.14803858253</v>
      </c>
      <c r="X13" s="9" t="n">
        <f aca="false">INDEX('CoStar - US Office'!$G:$G,MATCH(2025,'CoStar - US Office'!$A:$A,0))</f>
        <v>116.20527763663</v>
      </c>
      <c r="Y13" s="23" t="n">
        <f aca="false">INDEX('Green Street National'!$C:$C,MATCH(2025,'Green Street National'!$A:$A,0))</f>
        <v>0.00073864</v>
      </c>
      <c r="Z13" s="23" t="n">
        <f aca="false">INDEX('CoStar - US Office'!$D:$D,MATCH(2025,'CoStar - US Office'!$A:$A,0))</f>
        <v>-0.000827401500605007</v>
      </c>
      <c r="AA13" s="9" t="n">
        <f aca="false">INDEX('CoStar - US Office'!$F:$F,MATCH(2025,'CoStar - US Office'!$A:$A,0))</f>
        <v>36.7572621381188</v>
      </c>
      <c r="AB13" s="23" t="n">
        <f aca="false">INDEX('CoStar - US Office'!$C:$C,MATCH(2025,'CoStar - US Office'!$A:$A,0))</f>
        <v>0.859618577591907</v>
      </c>
      <c r="AC13" s="9" t="n">
        <f aca="false">AC12*(1+INDEX('Green Street National'!$C:$C,MATCH(2025,'Green Street National'!$A:$A,0)))</f>
        <v>83.4585992504723</v>
      </c>
      <c r="AE13" s="24" t="str">
        <f aca="false">IF(N(L12)=0,"",TEXT(L13/L12-1,"+0%;-0%"))</f>
        <v>-2%</v>
      </c>
      <c r="AF13" s="24" t="str">
        <f aca="false">IF(N(N12)=0,"",TEXT(N13/N12-1,"+0%;-0%"))</f>
        <v>-3%</v>
      </c>
    </row>
    <row r="15" customFormat="false" ht="15" hidden="false" customHeight="true" outlineLevel="0" collapsed="false">
      <c r="A15" s="6" t="s">
        <v>535</v>
      </c>
    </row>
    <row r="16" customFormat="false" ht="15" hidden="false" customHeight="true" outlineLevel="0" collapsed="false">
      <c r="A16" s="18" t="s">
        <v>634</v>
      </c>
    </row>
    <row r="17" customFormat="false" ht="15" hidden="false" customHeight="true" outlineLevel="0" collapsed="false">
      <c r="A17" s="18" t="s">
        <v>537</v>
      </c>
    </row>
    <row r="18" customFormat="false" ht="15" hidden="false" customHeight="true" outlineLevel="0" collapsed="false">
      <c r="A18" s="18" t="s">
        <v>538</v>
      </c>
    </row>
    <row r="19" customFormat="false" ht="15" hidden="false" customHeight="true" outlineLevel="0" collapsed="false">
      <c r="A19" s="18" t="s">
        <v>635</v>
      </c>
    </row>
    <row r="20" customFormat="false" ht="15" hidden="false" customHeight="true" outlineLevel="0" collapsed="false">
      <c r="A20" s="18" t="s">
        <v>540</v>
      </c>
    </row>
    <row r="21" customFormat="false" ht="15" hidden="false" customHeight="true" outlineLevel="0" collapsed="false">
      <c r="A21" s="18" t="s">
        <v>541</v>
      </c>
    </row>
    <row r="22" customFormat="false" ht="15" hidden="false" customHeight="true" outlineLevel="0" collapsed="false">
      <c r="A22" s="18" t="s">
        <v>542</v>
      </c>
    </row>
    <row r="23" customFormat="false" ht="15" hidden="false" customHeight="true" outlineLevel="0" collapsed="false">
      <c r="A23" s="18" t="s">
        <v>543</v>
      </c>
    </row>
    <row r="24" customFormat="false" ht="15" hidden="false" customHeight="true" outlineLevel="0" collapsed="false">
      <c r="A24" s="18" t="s">
        <v>544</v>
      </c>
    </row>
    <row r="25" customFormat="false" ht="15" hidden="false" customHeight="true" outlineLevel="0" collapsed="false">
      <c r="A25" s="18" t="s">
        <v>545</v>
      </c>
    </row>
    <row r="26" customFormat="false" ht="15" hidden="false" customHeight="true" outlineLevel="0" collapsed="false">
      <c r="A26" s="18" t="s">
        <v>636</v>
      </c>
    </row>
    <row r="27" customFormat="false" ht="15" hidden="false" customHeight="true" outlineLevel="0" collapsed="false">
      <c r="A27" s="18" t="s">
        <v>547</v>
      </c>
    </row>
    <row r="28" customFormat="false" ht="15" hidden="false" customHeight="true" outlineLevel="0" collapsed="false">
      <c r="A28" s="18" t="s">
        <v>637</v>
      </c>
    </row>
    <row r="29" customFormat="false" ht="15" hidden="false" customHeight="true" outlineLevel="0" collapsed="false">
      <c r="A29" s="18" t="s">
        <v>549</v>
      </c>
    </row>
    <row r="30" customFormat="false" ht="15" hidden="false" customHeight="true" outlineLevel="0" collapsed="false">
      <c r="A30" s="18" t="s">
        <v>550</v>
      </c>
    </row>
    <row r="31" customFormat="false" ht="15" hidden="false" customHeight="true" outlineLevel="0" collapsed="false">
      <c r="A31" s="18" t="s">
        <v>551</v>
      </c>
    </row>
    <row r="32" customFormat="false" ht="15" hidden="false" customHeight="true" outlineLevel="0" collapsed="false">
      <c r="A32" s="18" t="s">
        <v>552</v>
      </c>
    </row>
    <row r="33" customFormat="false" ht="15" hidden="false" customHeight="true" outlineLevel="0" collapsed="false">
      <c r="A33" s="18" t="s">
        <v>553</v>
      </c>
    </row>
    <row r="34" customFormat="false" ht="15" hidden="false" customHeight="true" outlineLevel="0" collapsed="false">
      <c r="A34" s="18" t="s">
        <v>554</v>
      </c>
    </row>
    <row r="35" customFormat="false" ht="15" hidden="false" customHeight="true" outlineLevel="0" collapsed="false">
      <c r="A35" s="18" t="s">
        <v>555</v>
      </c>
    </row>
    <row r="36" customFormat="false" ht="15" hidden="false" customHeight="true" outlineLevel="0" collapsed="false">
      <c r="A36" s="18" t="s">
        <v>556</v>
      </c>
    </row>
    <row r="37" customFormat="false" ht="15" hidden="false" customHeight="true" outlineLevel="0" collapsed="false">
      <c r="A37" s="18" t="s">
        <v>557</v>
      </c>
    </row>
    <row r="38" customFormat="false" ht="15" hidden="false" customHeight="true" outlineLevel="0" collapsed="false">
      <c r="A38" s="18" t="s">
        <v>558</v>
      </c>
    </row>
    <row r="39" customFormat="false" ht="15" hidden="false" customHeight="true" outlineLevel="0" collapsed="false">
      <c r="A39" s="18" t="s">
        <v>559</v>
      </c>
    </row>
    <row r="40" customFormat="false" ht="15" hidden="false" customHeight="true" outlineLevel="0" collapsed="false">
      <c r="A40" s="18" t="s">
        <v>560</v>
      </c>
    </row>
    <row r="41" customFormat="false" ht="15" hidden="false" customHeight="true" outlineLevel="0" collapsed="false">
      <c r="A41" s="18" t="s">
        <v>561</v>
      </c>
    </row>
    <row r="42" customFormat="false" ht="15" hidden="false" customHeight="true" outlineLevel="0" collapsed="false">
      <c r="A42" s="18" t="s">
        <v>562</v>
      </c>
    </row>
    <row r="43" customFormat="false" ht="15" hidden="false" customHeight="true" outlineLevel="0" collapsed="false">
      <c r="A43" s="18" t="s">
        <v>563</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G8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1" ySplit="7" topLeftCell="B8" activePane="bottomRight" state="frozen"/>
      <selection pane="topLeft" activeCell="A1" activeCellId="0" sqref="A1"/>
      <selection pane="topRight" activeCell="B1" activeCellId="0" sqref="B1"/>
      <selection pane="bottomLeft" activeCell="A8" activeCellId="0" sqref="A8"/>
      <selection pane="bottomRight" activeCell="A1" activeCellId="0" sqref="A1"/>
    </sheetView>
  </sheetViews>
  <sheetFormatPr defaultColWidth="8.6796875" defaultRowHeight="15" zeroHeight="false" outlineLevelRow="0" outlineLevelCol="0"/>
  <cols>
    <col collapsed="false" customWidth="true" hidden="false" outlineLevel="0" max="33" min="1" style="1" width="15"/>
  </cols>
  <sheetData>
    <row r="1" customFormat="false" ht="15" hidden="false" customHeight="true" outlineLevel="0" collapsed="false">
      <c r="A1" s="4" t="s">
        <v>638</v>
      </c>
    </row>
    <row r="3" customFormat="false" ht="15" hidden="false" customHeight="true" outlineLevel="0" collapsed="false">
      <c r="A3" s="18" t="s">
        <v>639</v>
      </c>
    </row>
    <row r="4" customFormat="false" ht="15" hidden="false" customHeight="true" outlineLevel="0" collapsed="false">
      <c r="A4" s="6" t="s">
        <v>640</v>
      </c>
    </row>
    <row r="6" customFormat="false" ht="15" hidden="false" customHeight="true" outlineLevel="0" collapsed="false">
      <c r="B6" s="2" t="s">
        <v>641</v>
      </c>
      <c r="C6" s="2" t="s">
        <v>641</v>
      </c>
      <c r="D6" s="2" t="s">
        <v>398</v>
      </c>
      <c r="E6" s="2" t="s">
        <v>642</v>
      </c>
      <c r="F6" s="2" t="s">
        <v>641</v>
      </c>
      <c r="G6" s="2" t="s">
        <v>398</v>
      </c>
      <c r="H6" s="2" t="s">
        <v>641</v>
      </c>
      <c r="I6" s="2" t="s">
        <v>641</v>
      </c>
      <c r="J6" s="2" t="s">
        <v>398</v>
      </c>
      <c r="K6" s="2" t="s">
        <v>398</v>
      </c>
      <c r="L6" s="2" t="s">
        <v>641</v>
      </c>
      <c r="M6" s="2" t="s">
        <v>641</v>
      </c>
      <c r="N6" s="2" t="s">
        <v>641</v>
      </c>
      <c r="O6" s="2" t="s">
        <v>398</v>
      </c>
      <c r="P6" s="2" t="s">
        <v>398</v>
      </c>
      <c r="Q6" s="2" t="s">
        <v>398</v>
      </c>
      <c r="R6" s="2" t="s">
        <v>641</v>
      </c>
      <c r="U6" s="2" t="s">
        <v>641</v>
      </c>
      <c r="V6" s="2" t="s">
        <v>398</v>
      </c>
      <c r="W6" s="2" t="s">
        <v>641</v>
      </c>
      <c r="X6" s="2" t="s">
        <v>641</v>
      </c>
      <c r="Y6" s="2" t="s">
        <v>143</v>
      </c>
      <c r="Z6" s="2" t="s">
        <v>398</v>
      </c>
      <c r="AA6" s="2" t="s">
        <v>398</v>
      </c>
      <c r="AB6" s="2" t="s">
        <v>398</v>
      </c>
      <c r="AC6" s="2" t="s">
        <v>398</v>
      </c>
      <c r="AD6" s="2" t="s">
        <v>643</v>
      </c>
      <c r="AE6" s="2" t="s">
        <v>643</v>
      </c>
      <c r="AF6" s="2" t="s">
        <v>641</v>
      </c>
      <c r="AG6" s="2" t="s">
        <v>641</v>
      </c>
    </row>
    <row r="7" customFormat="false" ht="53.25" hidden="false" customHeight="true" outlineLevel="0" collapsed="false">
      <c r="A7" s="8" t="s">
        <v>405</v>
      </c>
      <c r="B7" s="8" t="s">
        <v>481</v>
      </c>
      <c r="C7" s="8" t="s">
        <v>482</v>
      </c>
      <c r="D7" s="8" t="s">
        <v>408</v>
      </c>
      <c r="E7" s="8" t="s">
        <v>409</v>
      </c>
      <c r="F7" s="8" t="s">
        <v>483</v>
      </c>
      <c r="G7" s="8" t="s">
        <v>484</v>
      </c>
      <c r="H7" s="8" t="s">
        <v>485</v>
      </c>
      <c r="I7" s="8" t="s">
        <v>486</v>
      </c>
      <c r="J7" s="8" t="s">
        <v>414</v>
      </c>
      <c r="K7" s="8" t="s">
        <v>415</v>
      </c>
      <c r="L7" s="8" t="s">
        <v>487</v>
      </c>
      <c r="M7" s="8" t="s">
        <v>488</v>
      </c>
      <c r="N7" s="8" t="s">
        <v>418</v>
      </c>
      <c r="O7" s="8" t="s">
        <v>489</v>
      </c>
      <c r="P7" s="8" t="s">
        <v>423</v>
      </c>
      <c r="Q7" s="8" t="s">
        <v>424</v>
      </c>
      <c r="R7" s="8" t="s">
        <v>490</v>
      </c>
      <c r="S7" s="8" t="s">
        <v>491</v>
      </c>
      <c r="T7" s="8" t="s">
        <v>492</v>
      </c>
      <c r="U7" s="8" t="s">
        <v>493</v>
      </c>
      <c r="V7" s="8" t="s">
        <v>429</v>
      </c>
      <c r="W7" s="8" t="s">
        <v>430</v>
      </c>
      <c r="X7" s="8" t="s">
        <v>494</v>
      </c>
      <c r="Y7" s="8" t="s">
        <v>432</v>
      </c>
      <c r="Z7" s="8" t="s">
        <v>433</v>
      </c>
      <c r="AA7" s="8" t="s">
        <v>434</v>
      </c>
      <c r="AB7" s="8" t="s">
        <v>435</v>
      </c>
      <c r="AC7" s="8" t="s">
        <v>436</v>
      </c>
      <c r="AD7" s="8" t="s">
        <v>495</v>
      </c>
      <c r="AE7" s="8" t="s">
        <v>496</v>
      </c>
      <c r="AF7" s="8" t="s">
        <v>497</v>
      </c>
      <c r="AG7" s="8" t="s">
        <v>498</v>
      </c>
    </row>
    <row r="8" customFormat="false" ht="15" hidden="false" customHeight="true" outlineLevel="0" collapsed="false">
      <c r="A8" s="6" t="n">
        <v>2025</v>
      </c>
      <c r="B8" s="9" t="n">
        <f aca="false">'BXP Final'!B8*$F$33+'CUZ Final'!B8*$G$33+'HIW Final'!B8*$H$33</f>
        <v>1521.68820971578</v>
      </c>
      <c r="C8" s="9" t="n">
        <f aca="false">'BXP Final'!C8*$F$33+'CUZ Final'!C8*$G$33+'HIW Final'!C8*$H$33</f>
        <v>500.645594847401</v>
      </c>
      <c r="D8" s="9" t="n">
        <f aca="false">B8-C8</f>
        <v>1021.04261486838</v>
      </c>
      <c r="E8" s="20" t="n">
        <f aca="false">('BXP Final'!G8*$F$33+'CUZ Final'!G8*$G$33+'HIW Final'!G8*$H$33)/F8</f>
        <v>55.4205674890392</v>
      </c>
      <c r="F8" s="19" t="n">
        <f aca="false">'BXP Final'!F8*$F$33+'CUZ Final'!F8*$G$33+'HIW Final'!F8*$H$33</f>
        <v>165.548704667026</v>
      </c>
      <c r="G8" s="9" t="n">
        <f aca="false">E8*F8</f>
        <v>9174.80315972194</v>
      </c>
      <c r="H8" s="9" t="n">
        <f aca="false">'BXP Final'!H8*$F$33+'CUZ Final'!H8*$G$33+'HIW Final'!H8*$H$33</f>
        <v>405.851686529101</v>
      </c>
      <c r="I8" s="9" t="n">
        <f aca="false">'BXP Final'!I8*$F$33+'CUZ Final'!I8*$G$33+'HIW Final'!I8*$H$33</f>
        <v>1094.09855702175</v>
      </c>
      <c r="J8" s="9" t="n">
        <f aca="false">H8+I8</f>
        <v>1499.95024355085</v>
      </c>
      <c r="K8" s="9" t="n">
        <f aca="false">G8-J8</f>
        <v>7674.85291617109</v>
      </c>
      <c r="L8" s="9" t="n">
        <f aca="false">'BXP Final'!L8*$F$33+'CUZ Final'!L8*$G$33+'HIW Final'!L8*$H$33</f>
        <v>9158.1881820111</v>
      </c>
      <c r="M8" s="9" t="n">
        <f aca="false">'BXP Final'!M8*$F$33+'CUZ Final'!M8*$G$33+'HIW Final'!M8*$H$33</f>
        <v>2982.66212016845</v>
      </c>
      <c r="N8" s="9" t="n">
        <f aca="false">'BXP Final'!N8*$F$33+'CUZ Final'!N8*$G$33+'HIW Final'!N8*$H$33</f>
        <v>3.95659102414778</v>
      </c>
      <c r="O8" s="9" t="n">
        <f aca="false">SUM(L8:N8)</f>
        <v>12144.8068932037</v>
      </c>
      <c r="P8" s="9" t="n">
        <f aca="false">G8+O8</f>
        <v>21319.6100529256</v>
      </c>
      <c r="Q8" s="9" t="n">
        <f aca="false">K8+O8</f>
        <v>19819.6598093748</v>
      </c>
      <c r="R8" s="9" t="n">
        <f aca="false">'BXP Final'!R8*$F$33+'CUZ Final'!R8*$G$33+'HIW Final'!R8*$H$33</f>
        <v>951.174782657722</v>
      </c>
      <c r="U8" s="9" t="n">
        <f aca="false">'BXP Final'!U8*$F$33+'CUZ Final'!U8*$G$33+'HIW Final'!U8*$H$33</f>
        <v>288.075835978575</v>
      </c>
      <c r="V8" s="9" t="n">
        <f aca="false">R8-U8</f>
        <v>663.098946679147</v>
      </c>
      <c r="W8" s="9" t="n">
        <f aca="false">'BXP Final'!W8*$F$33+'CUZ Final'!W8*$G$33+'HIW Final'!W8*$H$33</f>
        <v>956.812135426384</v>
      </c>
      <c r="X8" s="9" t="n">
        <f aca="false">'BXP Final'!X8*$F$33+'CUZ Final'!X8*$G$33+'HIW Final'!X8*$H$33</f>
        <v>500.932203730394</v>
      </c>
      <c r="Y8" s="13" t="n">
        <f aca="false">INDEX('10 YR UST'!$B:$B,MATCH(A8,'10 YR UST'!$A:$A,0))</f>
        <v>0.0418</v>
      </c>
      <c r="Z8" s="14" t="n">
        <f aca="false">B8/Q8</f>
        <v>0.0767767067826269</v>
      </c>
      <c r="AA8" s="14" t="n">
        <f aca="false">D8/K8</f>
        <v>0.133037417918071</v>
      </c>
      <c r="AB8" s="15" t="n">
        <f aca="false">Q8/B8</f>
        <v>13.0247837124772</v>
      </c>
      <c r="AC8" s="15" t="n">
        <f aca="false">K8/D8</f>
        <v>7.51668226615637</v>
      </c>
      <c r="AD8" s="14" t="n">
        <f aca="false">'BXP Final'!AD8*$F$33+'CUZ Final'!AD8*$G$33+'HIW Final'!AD8*$H$33</f>
        <v>0.0268767890796175</v>
      </c>
      <c r="AE8" s="14" t="n">
        <f aca="false">'BXP Final'!AE8*$F$33+'CUZ Final'!AE8*$G$33+'HIW Final'!AE8*$H$33</f>
        <v>0.872375993845914</v>
      </c>
      <c r="AF8" s="22" t="s">
        <v>456</v>
      </c>
      <c r="AG8" s="22" t="s">
        <v>456</v>
      </c>
    </row>
    <row r="9" customFormat="false" ht="15" hidden="false" customHeight="true" outlineLevel="0" collapsed="false">
      <c r="A9" s="6" t="n">
        <v>2024</v>
      </c>
      <c r="B9" s="9" t="n">
        <f aca="false">'BXP Final'!B9*$F$34+'CUZ Final'!B9*$G$34+'HIW Final'!B9*$H$34</f>
        <v>1509.83974407045</v>
      </c>
      <c r="C9" s="9" t="n">
        <f aca="false">'BXP Final'!C9*$F$34+'CUZ Final'!C9*$G$34+'HIW Final'!C9*$H$34</f>
        <v>492.424661796785</v>
      </c>
      <c r="D9" s="9" t="n">
        <f aca="false">B9-C9</f>
        <v>1017.41508227366</v>
      </c>
      <c r="E9" s="20" t="n">
        <f aca="false">('BXP Final'!G9*$F$34+'CUZ Final'!G9*$G$34+'HIW Final'!G9*$H$34)/F9</f>
        <v>61.7610626868645</v>
      </c>
      <c r="F9" s="19" t="n">
        <f aca="false">'BXP Final'!F9*$F$34+'CUZ Final'!F9*$G$34+'HIW Final'!F9*$H$34</f>
        <v>164.933620306586</v>
      </c>
      <c r="G9" s="9" t="n">
        <f aca="false">E9*F9</f>
        <v>10186.4756629266</v>
      </c>
      <c r="H9" s="9" t="n">
        <f aca="false">'BXP Final'!H9*$F$34+'CUZ Final'!H9*$G$34+'HIW Final'!H9*$H$34</f>
        <v>537.313479794934</v>
      </c>
      <c r="I9" s="9" t="n">
        <f aca="false">'BXP Final'!I9*$F$34+'CUZ Final'!I9*$G$34+'HIW Final'!I9*$H$34</f>
        <v>638.759666644697</v>
      </c>
      <c r="J9" s="9" t="n">
        <f aca="false">H9+I9</f>
        <v>1176.07314643963</v>
      </c>
      <c r="K9" s="9" t="n">
        <f aca="false">G9-J9</f>
        <v>9010.40251648692</v>
      </c>
      <c r="L9" s="9" t="n">
        <f aca="false">'BXP Final'!L9*$F$34+'CUZ Final'!L9*$G$34+'HIW Final'!L9*$H$34</f>
        <v>8816.99912457089</v>
      </c>
      <c r="M9" s="9" t="n">
        <f aca="false">'BXP Final'!M9*$F$34+'CUZ Final'!M9*$G$34+'HIW Final'!M9*$H$34</f>
        <v>3102.30709050755</v>
      </c>
      <c r="N9" s="9" t="n">
        <f aca="false">'BXP Final'!N9*$F$34+'CUZ Final'!N9*$G$34+'HIW Final'!N9*$H$34</f>
        <v>4.20502554639515</v>
      </c>
      <c r="O9" s="9" t="n">
        <f aca="false">SUM(L9:N9)</f>
        <v>11923.5112406248</v>
      </c>
      <c r="P9" s="9" t="n">
        <f aca="false">G9+O9</f>
        <v>22109.9869035514</v>
      </c>
      <c r="Q9" s="9" t="n">
        <f aca="false">K9+O9</f>
        <v>20933.9137571118</v>
      </c>
      <c r="R9" s="9" t="n">
        <f aca="false">'BXP Final'!R9*$F$34+'CUZ Final'!R9*$G$34+'HIW Final'!R9*$H$34</f>
        <v>966.387810460903</v>
      </c>
      <c r="U9" s="9" t="n">
        <f aca="false">'BXP Final'!U9*$F$34+'CUZ Final'!U9*$G$34+'HIW Final'!U9*$H$34</f>
        <v>248.54851924858</v>
      </c>
      <c r="V9" s="9" t="n">
        <f aca="false">R9-U9</f>
        <v>717.839291212324</v>
      </c>
      <c r="W9" s="9" t="n">
        <f aca="false">'BXP Final'!W9*$F$34+'CUZ Final'!W9*$G$34+'HIW Final'!W9*$H$34</f>
        <v>956.579525784945</v>
      </c>
      <c r="X9" s="9" t="n">
        <f aca="false">'BXP Final'!X9*$F$34+'CUZ Final'!X9*$G$34+'HIW Final'!X9*$H$34</f>
        <v>527.96078266882</v>
      </c>
      <c r="Y9" s="13" t="n">
        <f aca="false">INDEX('10 YR UST'!$B:$B,MATCH(A9,'10 YR UST'!$A:$A,0))</f>
        <v>0.0458</v>
      </c>
      <c r="Z9" s="14" t="n">
        <f aca="false">B9/Q9</f>
        <v>0.0721241026206825</v>
      </c>
      <c r="AA9" s="14" t="n">
        <f aca="false">D9/K9</f>
        <v>0.112915608421714</v>
      </c>
      <c r="AB9" s="15" t="n">
        <f aca="false">Q9/B9</f>
        <v>13.8649905324886</v>
      </c>
      <c r="AC9" s="15" t="n">
        <f aca="false">K9/D9</f>
        <v>8.85617156013748</v>
      </c>
      <c r="AD9" s="14" t="n">
        <f aca="false">'BXP Final'!AD9*$F$34+'CUZ Final'!AD9*$G$34+'HIW Final'!AD9*$H$34</f>
        <v>0.0826826885833848</v>
      </c>
      <c r="AE9" s="14" t="n">
        <f aca="false">'BXP Final'!AE9*$F$34+'CUZ Final'!AE9*$G$34+'HIW Final'!AE9*$H$34</f>
        <v>0.882114609430636</v>
      </c>
      <c r="AF9" s="22" t="s">
        <v>456</v>
      </c>
      <c r="AG9" s="22" t="s">
        <v>456</v>
      </c>
    </row>
    <row r="10" customFormat="false" ht="15" hidden="false" customHeight="true" outlineLevel="0" collapsed="false">
      <c r="A10" s="6" t="n">
        <v>2023</v>
      </c>
      <c r="B10" s="9" t="n">
        <f aca="false">'BXP Final'!B10*$F$35+'CUZ Final'!B10*$G$35+'HIW Final'!B10*$H$35</f>
        <v>1553.93901275868</v>
      </c>
      <c r="C10" s="9" t="n">
        <f aca="false">'BXP Final'!C10*$F$35+'CUZ Final'!C10*$G$35+'HIW Final'!C10*$H$35</f>
        <v>475.042127422379</v>
      </c>
      <c r="D10" s="9" t="n">
        <f aca="false">B10-C10</f>
        <v>1078.8968853363</v>
      </c>
      <c r="E10" s="20" t="n">
        <f aca="false">('BXP Final'!G10*$F$35+'CUZ Final'!G10*$G$35+'HIW Final'!G10*$H$35)/F10</f>
        <v>59.3406350929282</v>
      </c>
      <c r="F10" s="19" t="n">
        <f aca="false">'BXP Final'!F10*$F$35+'CUZ Final'!F10*$G$35+'HIW Final'!F10*$H$35</f>
        <v>162.593352005149</v>
      </c>
      <c r="G10" s="9" t="n">
        <f aca="false">E10*F10</f>
        <v>9648.39276987358</v>
      </c>
      <c r="H10" s="9" t="n">
        <f aca="false">'BXP Final'!H10*$F$35+'CUZ Final'!H10*$G$35+'HIW Final'!H10*$H$35</f>
        <v>549.936311541687</v>
      </c>
      <c r="I10" s="9" t="n">
        <f aca="false">'BXP Final'!I10*$F$35+'CUZ Final'!I10*$G$35+'HIW Final'!I10*$H$35</f>
        <v>481.270671079612</v>
      </c>
      <c r="J10" s="9" t="n">
        <f aca="false">H10+I10</f>
        <v>1031.2069826213</v>
      </c>
      <c r="K10" s="9" t="n">
        <f aca="false">G10-J10</f>
        <v>8617.18578725228</v>
      </c>
      <c r="L10" s="9" t="n">
        <f aca="false">'BXP Final'!L10*$F$35+'CUZ Final'!L10*$G$35+'HIW Final'!L10*$H$35</f>
        <v>8915.79154283415</v>
      </c>
      <c r="M10" s="9" t="n">
        <f aca="false">'BXP Final'!M10*$F$35+'CUZ Final'!M10*$G$35+'HIW Final'!M10*$H$35</f>
        <v>3227.86083322638</v>
      </c>
      <c r="N10" s="9" t="n">
        <f aca="false">'BXP Final'!N10*$F$35+'CUZ Final'!N10*$G$35+'HIW Final'!N10*$H$35</f>
        <v>3.96620470178696</v>
      </c>
      <c r="O10" s="9" t="n">
        <f aca="false">SUM(L10:N10)</f>
        <v>12147.6185807623</v>
      </c>
      <c r="P10" s="9" t="n">
        <f aca="false">G10+O10</f>
        <v>21796.0113506359</v>
      </c>
      <c r="Q10" s="9" t="n">
        <f aca="false">K10+O10</f>
        <v>20764.8043680146</v>
      </c>
      <c r="R10" s="9" t="n">
        <f aca="false">'BXP Final'!R10*$F$35+'CUZ Final'!R10*$G$35+'HIW Final'!R10*$H$35</f>
        <v>1022.5070612382</v>
      </c>
      <c r="U10" s="9" t="n">
        <f aca="false">'BXP Final'!U10*$F$35+'CUZ Final'!U10*$G$35+'HIW Final'!U10*$H$35</f>
        <v>229.291660970927</v>
      </c>
      <c r="V10" s="9" t="n">
        <f aca="false">R10-U10</f>
        <v>793.21540026727</v>
      </c>
      <c r="W10" s="9" t="n">
        <f aca="false">'BXP Final'!W10*$F$35+'CUZ Final'!W10*$G$35+'HIW Final'!W10*$H$35</f>
        <v>1033.46425258003</v>
      </c>
      <c r="X10" s="9" t="n">
        <f aca="false">'BXP Final'!X10*$F$35+'CUZ Final'!X10*$G$35+'HIW Final'!X10*$H$35</f>
        <v>547.621593906659</v>
      </c>
      <c r="Y10" s="13" t="n">
        <f aca="false">INDEX('10 YR UST'!$B:$B,MATCH(A10,'10 YR UST'!$A:$A,0))</f>
        <v>0.0388</v>
      </c>
      <c r="Z10" s="14" t="n">
        <f aca="false">B10/Q10</f>
        <v>0.0748352349108724</v>
      </c>
      <c r="AA10" s="14" t="n">
        <f aca="false">D10/K10</f>
        <v>0.125202927263371</v>
      </c>
      <c r="AB10" s="15" t="n">
        <f aca="false">Q10/B10</f>
        <v>13.3626893961245</v>
      </c>
      <c r="AC10" s="15" t="n">
        <f aca="false">K10/D10</f>
        <v>7.98703370486256</v>
      </c>
      <c r="AD10" s="14" t="n">
        <f aca="false">'BXP Final'!AD10*$F$35+'CUZ Final'!AD10*$G$35+'HIW Final'!AD10*$H$35</f>
        <v>0.0443672502322856</v>
      </c>
      <c r="AE10" s="14" t="n">
        <f aca="false">'BXP Final'!AE10*$F$35+'CUZ Final'!AE10*$G$35+'HIW Final'!AE10*$H$35</f>
        <v>0.888496755004433</v>
      </c>
      <c r="AF10" s="22" t="s">
        <v>456</v>
      </c>
      <c r="AG10" s="22" t="s">
        <v>456</v>
      </c>
    </row>
    <row r="11" customFormat="false" ht="15" hidden="false" customHeight="true" outlineLevel="0" collapsed="false">
      <c r="A11" s="6" t="n">
        <v>2022</v>
      </c>
      <c r="B11" s="9" t="n">
        <f aca="false">'BXP Final'!B11*$F$36+'CUZ Final'!B11*$G$36+'HIW Final'!B11*$H$36</f>
        <v>1456.10309964368</v>
      </c>
      <c r="C11" s="9" t="n">
        <f aca="false">'BXP Final'!C11*$F$36+'CUZ Final'!C11*$G$36+'HIW Final'!C11*$H$36</f>
        <v>350.692498371827</v>
      </c>
      <c r="D11" s="9" t="n">
        <f aca="false">B11-C11</f>
        <v>1105.41060127185</v>
      </c>
      <c r="E11" s="20" t="n">
        <f aca="false">('BXP Final'!G11*$F$36+'CUZ Final'!G11*$G$36+'HIW Final'!G11*$H$36)/F11</f>
        <v>57.0448942322969</v>
      </c>
      <c r="F11" s="19" t="n">
        <f aca="false">'BXP Final'!F11*$F$36+'CUZ Final'!F11*$G$36+'HIW Final'!F11*$H$36</f>
        <v>160.536841864937</v>
      </c>
      <c r="G11" s="9" t="n">
        <f aca="false">E11*F11</f>
        <v>9157.80716457229</v>
      </c>
      <c r="H11" s="9" t="n">
        <f aca="false">'BXP Final'!H11*$F$36+'CUZ Final'!H11*$G$36+'HIW Final'!H11*$H$36</f>
        <v>554.631215829937</v>
      </c>
      <c r="I11" s="9" t="n">
        <f aca="false">'BXP Final'!I11*$F$36+'CUZ Final'!I11*$G$36+'HIW Final'!I11*$H$36</f>
        <v>343.531349472985</v>
      </c>
      <c r="J11" s="9" t="n">
        <f aca="false">H11+I11</f>
        <v>898.162565302922</v>
      </c>
      <c r="K11" s="9" t="n">
        <f aca="false">G11-J11</f>
        <v>8259.64459926937</v>
      </c>
      <c r="L11" s="9" t="n">
        <f aca="false">'BXP Final'!L11*$F$36+'CUZ Final'!L11*$G$36+'HIW Final'!L11*$H$36</f>
        <v>8188.33812714997</v>
      </c>
      <c r="M11" s="9" t="n">
        <f aca="false">'BXP Final'!M11*$F$36+'CUZ Final'!M11*$G$36+'HIW Final'!M11*$H$36</f>
        <v>2593.81451264088</v>
      </c>
      <c r="N11" s="9" t="n">
        <f aca="false">'BXP Final'!N11*$F$36+'CUZ Final'!N11*$G$36+'HIW Final'!N11*$H$36</f>
        <v>4.58105357531163</v>
      </c>
      <c r="O11" s="9" t="n">
        <f aca="false">SUM(L11:N11)</f>
        <v>10786.7336933662</v>
      </c>
      <c r="P11" s="9" t="n">
        <f aca="false">G11+O11</f>
        <v>19944.5408579385</v>
      </c>
      <c r="Q11" s="9" t="n">
        <f aca="false">K11+O11</f>
        <v>19046.3782926355</v>
      </c>
      <c r="R11" s="9" t="n">
        <f aca="false">'BXP Final'!R11*$F$36+'CUZ Final'!R11*$G$36+'HIW Final'!R11*$H$36</f>
        <v>1032.52507994993</v>
      </c>
      <c r="U11" s="9" t="n">
        <f aca="false">'BXP Final'!U11*$F$36+'CUZ Final'!U11*$G$36+'HIW Final'!U11*$H$36</f>
        <v>352.503059308811</v>
      </c>
      <c r="V11" s="9" t="n">
        <f aca="false">R11-U11</f>
        <v>680.022020641119</v>
      </c>
      <c r="W11" s="9" t="n">
        <f aca="false">'BXP Final'!W11*$F$36+'CUZ Final'!W11*$G$36+'HIW Final'!W11*$H$36</f>
        <v>1000.39284750085</v>
      </c>
      <c r="X11" s="9" t="n">
        <f aca="false">'BXP Final'!X11*$F$36+'CUZ Final'!X11*$G$36+'HIW Final'!X11*$H$36</f>
        <v>532.309125724186</v>
      </c>
      <c r="Y11" s="13" t="n">
        <f aca="false">INDEX('10 YR UST'!$B:$B,MATCH(A11,'10 YR UST'!$A:$A,0))</f>
        <v>0.0388</v>
      </c>
      <c r="Z11" s="14" t="n">
        <f aca="false">B11/Q11</f>
        <v>0.0764503926820929</v>
      </c>
      <c r="AA11" s="14" t="n">
        <f aca="false">D11/K11</f>
        <v>0.13383270768934</v>
      </c>
      <c r="AB11" s="15" t="n">
        <f aca="false">Q11/B11</f>
        <v>13.0803775483318</v>
      </c>
      <c r="AC11" s="15" t="n">
        <f aca="false">K11/D11</f>
        <v>7.47201500489148</v>
      </c>
      <c r="AD11" s="14" t="n">
        <f aca="false">'BXP Final'!AD11*$F$36+'CUZ Final'!AD11*$G$36+'HIW Final'!AD11*$H$36</f>
        <v>0.0871512407303437</v>
      </c>
      <c r="AE11" s="14" t="n">
        <f aca="false">'BXP Final'!AE11*$F$36+'CUZ Final'!AE11*$G$36+'HIW Final'!AE11*$H$36</f>
        <v>0.893773276379651</v>
      </c>
      <c r="AF11" s="22" t="s">
        <v>456</v>
      </c>
      <c r="AG11" s="22" t="s">
        <v>456</v>
      </c>
    </row>
    <row r="12" customFormat="false" ht="15" hidden="false" customHeight="true" outlineLevel="0" collapsed="false">
      <c r="A12" s="6" t="n">
        <v>2021</v>
      </c>
      <c r="B12" s="9" t="n">
        <f aca="false">'BXP Final'!B12*$F$37+'CUZ Final'!B12*$G$37+'HIW Final'!B12*$H$37</f>
        <v>1340.0965239163</v>
      </c>
      <c r="C12" s="9" t="n">
        <f aca="false">'BXP Final'!C12*$F$37+'CUZ Final'!C12*$G$37+'HIW Final'!C12*$H$37</f>
        <v>314.791724850317</v>
      </c>
      <c r="D12" s="9" t="n">
        <f aca="false">B12-C12</f>
        <v>1025.30479906598</v>
      </c>
      <c r="E12" s="20" t="n">
        <f aca="false">('BXP Final'!G12*$F$37+'CUZ Final'!G12*$G$37+'HIW Final'!G12*$H$37)/F12</f>
        <v>96.1214047944408</v>
      </c>
      <c r="F12" s="19" t="n">
        <f aca="false">'BXP Final'!F12*$F$37+'CUZ Final'!F12*$G$37+'HIW Final'!F12*$H$37</f>
        <v>159.762624010506</v>
      </c>
      <c r="G12" s="9" t="n">
        <f aca="false">E12*F12</f>
        <v>15356.6078535359</v>
      </c>
      <c r="H12" s="9" t="n">
        <f aca="false">'BXP Final'!H12*$F$37+'CUZ Final'!H12*$G$37+'HIW Final'!H12*$H$37</f>
        <v>440.603146039431</v>
      </c>
      <c r="I12" s="9" t="n">
        <f aca="false">'BXP Final'!I12*$F$37+'CUZ Final'!I12*$G$37+'HIW Final'!I12*$H$37</f>
        <v>686.163737787635</v>
      </c>
      <c r="J12" s="9" t="n">
        <f aca="false">H12+I12</f>
        <v>1126.76688382707</v>
      </c>
      <c r="K12" s="9" t="n">
        <f aca="false">G12-J12</f>
        <v>14229.8409697088</v>
      </c>
      <c r="L12" s="9" t="n">
        <f aca="false">'BXP Final'!L12*$F$37+'CUZ Final'!L12*$G$37+'HIW Final'!L12*$H$37</f>
        <v>7118.20149044841</v>
      </c>
      <c r="M12" s="9" t="n">
        <f aca="false">'BXP Final'!M12*$F$37+'CUZ Final'!M12*$G$37+'HIW Final'!M12*$H$37</f>
        <v>2458.0914080615</v>
      </c>
      <c r="N12" s="9" t="n">
        <f aca="false">'BXP Final'!N12*$F$37+'CUZ Final'!N12*$G$37+'HIW Final'!N12*$H$37</f>
        <v>4.50804787037324</v>
      </c>
      <c r="O12" s="9" t="n">
        <f aca="false">SUM(L12:N12)</f>
        <v>9580.80094638028</v>
      </c>
      <c r="P12" s="9" t="n">
        <f aca="false">G12+O12</f>
        <v>24937.4087999161</v>
      </c>
      <c r="Q12" s="9" t="n">
        <f aca="false">K12+O12</f>
        <v>23810.6419160891</v>
      </c>
      <c r="R12" s="9" t="n">
        <f aca="false">'BXP Final'!R12*$F$37+'CUZ Final'!R12*$G$37+'HIW Final'!R12*$H$37</f>
        <v>902.984988937505</v>
      </c>
      <c r="U12" s="9" t="n">
        <f aca="false">'BXP Final'!U12*$F$37+'CUZ Final'!U12*$G$37+'HIW Final'!U12*$H$37</f>
        <v>245.396468833681</v>
      </c>
      <c r="V12" s="9" t="n">
        <f aca="false">R12-U12</f>
        <v>657.588520103824</v>
      </c>
      <c r="W12" s="9" t="n">
        <f aca="false">'BXP Final'!W12*$F$37+'CUZ Final'!W12*$G$37+'HIW Final'!W12*$H$37</f>
        <v>896.68453511748</v>
      </c>
      <c r="X12" s="9" t="n">
        <f aca="false">'BXP Final'!X12*$F$37+'CUZ Final'!X12*$G$37+'HIW Final'!X12*$H$37</f>
        <v>526.001213576203</v>
      </c>
      <c r="Y12" s="13" t="n">
        <f aca="false">INDEX('10 YR UST'!$B:$B,MATCH(A12,'10 YR UST'!$A:$A,0))</f>
        <v>0.0152</v>
      </c>
      <c r="Z12" s="14" t="n">
        <f aca="false">B12/Q12</f>
        <v>0.0562814110026484</v>
      </c>
      <c r="AA12" s="14" t="n">
        <f aca="false">D12/K12</f>
        <v>0.072053145305598</v>
      </c>
      <c r="AB12" s="15" t="n">
        <f aca="false">Q12/B12</f>
        <v>17.7678558903391</v>
      </c>
      <c r="AC12" s="15" t="n">
        <f aca="false">K12/D12</f>
        <v>13.8786446553959</v>
      </c>
      <c r="AD12" s="14" t="n">
        <f aca="false">'BXP Final'!AD12*$F$37+'CUZ Final'!AD12*$G$37+'HIW Final'!AD12*$H$37</f>
        <v>0.0572707178684796</v>
      </c>
      <c r="AE12" s="14" t="n">
        <f aca="false">'BXP Final'!AE12*$F$37+'CUZ Final'!AE12*$G$37+'HIW Final'!AE12*$H$37</f>
        <v>0.89626026446046</v>
      </c>
      <c r="AF12" s="22" t="s">
        <v>456</v>
      </c>
      <c r="AG12" s="22" t="s">
        <v>456</v>
      </c>
    </row>
    <row r="13" customFormat="false" ht="15" hidden="false" customHeight="true" outlineLevel="0" collapsed="false">
      <c r="A13" s="6" t="n">
        <v>2020</v>
      </c>
      <c r="B13" s="9" t="n">
        <f aca="false">'BXP Final'!B13*$F$38+'CUZ Final'!B13*$G$38+'HIW Final'!B13*$H$38</f>
        <v>1270.10752820718</v>
      </c>
      <c r="C13" s="9" t="n">
        <f aca="false">'BXP Final'!C13*$F$38+'CUZ Final'!C13*$G$38+'HIW Final'!C13*$H$38</f>
        <v>321.521726319984</v>
      </c>
      <c r="D13" s="9" t="n">
        <f aca="false">B13-C13</f>
        <v>948.585801887195</v>
      </c>
      <c r="E13" s="20" t="n">
        <f aca="false">('BXP Final'!G13*$F$38+'CUZ Final'!G13*$G$38+'HIW Final'!G13*$H$38)/F13</f>
        <v>79.6232153885839</v>
      </c>
      <c r="F13" s="19" t="n">
        <f aca="false">'BXP Final'!F13*$F$38+'CUZ Final'!F13*$G$38+'HIW Final'!F13*$H$38</f>
        <v>159.074725928682</v>
      </c>
      <c r="G13" s="9" t="n">
        <f aca="false">E13*F13</f>
        <v>12666.0411654994</v>
      </c>
      <c r="H13" s="9" t="n">
        <f aca="false">'BXP Final'!H13*$F$38+'CUZ Final'!H13*$G$38+'HIW Final'!H13*$H$38</f>
        <v>356.276308077202</v>
      </c>
      <c r="I13" s="9" t="n">
        <f aca="false">'BXP Final'!I13*$F$38+'CUZ Final'!I13*$G$38+'HIW Final'!I13*$H$38</f>
        <v>708.476357197279</v>
      </c>
      <c r="J13" s="9" t="n">
        <f aca="false">H13+I13</f>
        <v>1064.75266527448</v>
      </c>
      <c r="K13" s="9" t="n">
        <f aca="false">G13-J13</f>
        <v>11601.2885002249</v>
      </c>
      <c r="L13" s="9" t="n">
        <f aca="false">'BXP Final'!L13*$F$38+'CUZ Final'!L13*$G$38+'HIW Final'!L13*$H$38</f>
        <v>7534.3165761221</v>
      </c>
      <c r="M13" s="9" t="n">
        <f aca="false">'BXP Final'!M13*$F$38+'CUZ Final'!M13*$G$38+'HIW Final'!M13*$H$38</f>
        <v>2126.12985534477</v>
      </c>
      <c r="N13" s="9" t="n">
        <f aca="false">'BXP Final'!N13*$F$38+'CUZ Final'!N13*$G$38+'HIW Final'!N13*$H$38</f>
        <v>141.386034848162</v>
      </c>
      <c r="O13" s="9" t="n">
        <f aca="false">SUM(L13:N13)</f>
        <v>9801.83246631503</v>
      </c>
      <c r="P13" s="9" t="n">
        <f aca="false">G13+O13</f>
        <v>22467.8736318144</v>
      </c>
      <c r="Q13" s="9" t="n">
        <f aca="false">K13+O13</f>
        <v>21403.1209665399</v>
      </c>
      <c r="R13" s="9" t="n">
        <f aca="false">'BXP Final'!R13*$F$38+'CUZ Final'!R13*$G$38+'HIW Final'!R13*$H$38</f>
        <v>869.867167648078</v>
      </c>
      <c r="U13" s="9" t="n">
        <f aca="false">'BXP Final'!U13*$F$38+'CUZ Final'!U13*$G$38+'HIW Final'!U13*$H$38</f>
        <v>263.431332035265</v>
      </c>
      <c r="V13" s="9" t="n">
        <f aca="false">R13-U13</f>
        <v>606.435835612813</v>
      </c>
      <c r="W13" s="9" t="n">
        <f aca="false">'BXP Final'!W13*$F$38+'CUZ Final'!W13*$G$38+'HIW Final'!W13*$H$38</f>
        <v>904.261726032193</v>
      </c>
      <c r="X13" s="9" t="n">
        <f aca="false">'BXP Final'!X13*$F$38+'CUZ Final'!X13*$G$38+'HIW Final'!X13*$H$38</f>
        <v>531.827705464329</v>
      </c>
      <c r="Y13" s="13" t="n">
        <f aca="false">INDEX('10 YR UST'!$B:$B,MATCH(A13,'10 YR UST'!$A:$A,0))</f>
        <v>0.0093</v>
      </c>
      <c r="Z13" s="14" t="n">
        <f aca="false">B13/Q13</f>
        <v>0.0593421646400434</v>
      </c>
      <c r="AA13" s="14" t="n">
        <f aca="false">D13/K13</f>
        <v>0.0817655557715684</v>
      </c>
      <c r="AB13" s="15" t="n">
        <f aca="false">Q13/B13</f>
        <v>16.8514243803842</v>
      </c>
      <c r="AC13" s="15" t="n">
        <f aca="false">K13/D13</f>
        <v>12.2300887037781</v>
      </c>
      <c r="AD13" s="14" t="n">
        <f aca="false">'BXP Final'!AD13*$F$38+'CUZ Final'!AD13*$G$38+'HIW Final'!AD13*$H$38</f>
        <v>0.217217332429084</v>
      </c>
      <c r="AE13" s="14" t="n">
        <f aca="false">'BXP Final'!AE13*$F$38+'CUZ Final'!AE13*$G$38+'HIW Final'!AE13*$H$38</f>
        <v>0.902285907446663</v>
      </c>
      <c r="AF13" s="22" t="s">
        <v>456</v>
      </c>
      <c r="AG13" s="22" t="s">
        <v>456</v>
      </c>
    </row>
    <row r="14" customFormat="false" ht="15" hidden="false" customHeight="true" outlineLevel="0" collapsed="false">
      <c r="A14" s="6" t="n">
        <v>2019</v>
      </c>
      <c r="B14" s="9" t="n">
        <f aca="false">'BXP Final'!B14*$F$39+'CUZ Final'!B14*$G$39+'HIW Final'!B14*$H$39</f>
        <v>1343.97396319532</v>
      </c>
      <c r="C14" s="9" t="n">
        <f aca="false">'BXP Final'!C14*$F$39+'CUZ Final'!C14*$G$39+'HIW Final'!C14*$H$39</f>
        <v>306.558201995166</v>
      </c>
      <c r="D14" s="9" t="n">
        <f aca="false">B14-C14</f>
        <v>1037.41576120015</v>
      </c>
      <c r="E14" s="20" t="n">
        <f aca="false">('BXP Final'!G14*$F$39+'CUZ Final'!G14*$G$39+'HIW Final'!G14*$H$39)/F14</f>
        <v>114.54353358161</v>
      </c>
      <c r="F14" s="19" t="n">
        <f aca="false">'BXP Final'!F14*$F$39+'CUZ Final'!F14*$G$39+'HIW Final'!F14*$H$39</f>
        <v>158.943256226376</v>
      </c>
      <c r="G14" s="9" t="n">
        <f aca="false">E14*F14</f>
        <v>18205.9222071363</v>
      </c>
      <c r="H14" s="9" t="n">
        <f aca="false">'BXP Final'!H14*$F$39+'CUZ Final'!H14*$G$39+'HIW Final'!H14*$H$39</f>
        <v>208.480357677886</v>
      </c>
      <c r="I14" s="9" t="n">
        <f aca="false">'BXP Final'!I14*$F$39+'CUZ Final'!I14*$G$39+'HIW Final'!I14*$H$39</f>
        <v>632.073658732225</v>
      </c>
      <c r="J14" s="9" t="n">
        <f aca="false">H14+I14</f>
        <v>840.554016410111</v>
      </c>
      <c r="K14" s="9" t="n">
        <f aca="false">G14-J14</f>
        <v>17365.3681907262</v>
      </c>
      <c r="L14" s="9" t="n">
        <f aca="false">'BXP Final'!L14*$F$39+'CUZ Final'!L14*$G$39+'HIW Final'!L14*$H$39</f>
        <v>6730.70832248981</v>
      </c>
      <c r="M14" s="9" t="n">
        <f aca="false">'BXP Final'!M14*$F$39+'CUZ Final'!M14*$G$39+'HIW Final'!M14*$H$39</f>
        <v>2029.30940553873</v>
      </c>
      <c r="N14" s="9" t="n">
        <f aca="false">'BXP Final'!N14*$F$39+'CUZ Final'!N14*$G$39+'HIW Final'!N14*$H$39</f>
        <v>142.51126760177</v>
      </c>
      <c r="O14" s="9" t="n">
        <f aca="false">SUM(L14:N14)</f>
        <v>8902.52899563031</v>
      </c>
      <c r="P14" s="9" t="n">
        <f aca="false">G14+O14</f>
        <v>27108.4512027666</v>
      </c>
      <c r="Q14" s="9" t="n">
        <f aca="false">K14+O14</f>
        <v>26267.8971863565</v>
      </c>
      <c r="R14" s="9" t="n">
        <f aca="false">'BXP Final'!R14*$F$39+'CUZ Final'!R14*$G$39+'HIW Final'!R14*$H$39</f>
        <v>941.309413456942</v>
      </c>
      <c r="U14" s="9" t="n">
        <f aca="false">'BXP Final'!U14*$F$39+'CUZ Final'!U14*$G$39+'HIW Final'!U14*$H$39</f>
        <v>316.53967367878</v>
      </c>
      <c r="V14" s="9" t="n">
        <f aca="false">R14-U14</f>
        <v>624.769739778161</v>
      </c>
      <c r="W14" s="9" t="n">
        <f aca="false">'BXP Final'!W14*$F$39+'CUZ Final'!W14*$G$39+'HIW Final'!W14*$H$39</f>
        <v>919.219979874543</v>
      </c>
      <c r="X14" s="9" t="n">
        <f aca="false">'BXP Final'!X14*$F$39+'CUZ Final'!X14*$G$39+'HIW Final'!X14*$H$39</f>
        <v>513.418913656377</v>
      </c>
      <c r="Y14" s="13" t="n">
        <f aca="false">INDEX('10 YR UST'!$B:$B,MATCH(A14,'10 YR UST'!$A:$A,0))</f>
        <v>0.0192</v>
      </c>
      <c r="Z14" s="14" t="n">
        <f aca="false">B14/Q14</f>
        <v>0.0511641245456592</v>
      </c>
      <c r="AA14" s="14" t="n">
        <f aca="false">D14/K14</f>
        <v>0.059740499009642</v>
      </c>
      <c r="AB14" s="15" t="n">
        <f aca="false">Q14/B14</f>
        <v>19.5449449957381</v>
      </c>
      <c r="AC14" s="15" t="n">
        <f aca="false">K14/D14</f>
        <v>16.7390633921321</v>
      </c>
      <c r="AD14" s="14" t="n">
        <f aca="false">'BXP Final'!AD14*$F$39+'CUZ Final'!AD14*$G$39+'HIW Final'!AD14*$H$39</f>
        <v>0.244548495967598</v>
      </c>
      <c r="AE14" s="14" t="n">
        <f aca="false">'BXP Final'!AE14*$F$39+'CUZ Final'!AE14*$G$39+'HIW Final'!AE14*$H$39</f>
        <v>0.929762206285573</v>
      </c>
      <c r="AF14" s="22" t="s">
        <v>456</v>
      </c>
      <c r="AG14" s="22" t="s">
        <v>456</v>
      </c>
    </row>
    <row r="15" customFormat="false" ht="15" hidden="false" customHeight="true" outlineLevel="0" collapsed="false">
      <c r="A15" s="6" t="n">
        <v>2018</v>
      </c>
      <c r="B15" s="9" t="n">
        <f aca="false">'BXP Final'!B15*$F$40+'CUZ Final'!B15*$G$40+'HIW Final'!B15*$H$40</f>
        <v>1259.46329072199</v>
      </c>
      <c r="C15" s="9" t="n">
        <f aca="false">'BXP Final'!C15*$F$40+'CUZ Final'!C15*$G$40+'HIW Final'!C15*$H$40</f>
        <v>296.310411687579</v>
      </c>
      <c r="D15" s="9" t="n">
        <f aca="false">B15-C15</f>
        <v>963.152879034413</v>
      </c>
      <c r="E15" s="20" t="n">
        <f aca="false">('BXP Final'!G15*$F$40+'CUZ Final'!G15*$G$40+'HIW Final'!G15*$H$40)/F15</f>
        <v>80.4980456243684</v>
      </c>
      <c r="F15" s="19" t="n">
        <f aca="false">'BXP Final'!F15*$F$40+'CUZ Final'!F15*$G$40+'HIW Final'!F15*$H$40</f>
        <v>191.138476912493</v>
      </c>
      <c r="G15" s="9" t="n">
        <f aca="false">E15*F15</f>
        <v>15386.2738350741</v>
      </c>
      <c r="H15" s="9" t="n">
        <f aca="false">'BXP Final'!H15*$F$40+'CUZ Final'!H15*$G$40+'HIW Final'!H15*$H$40</f>
        <v>177.219945093287</v>
      </c>
      <c r="I15" s="9" t="n">
        <f aca="false">'BXP Final'!I15*$F$40+'CUZ Final'!I15*$G$40+'HIW Final'!I15*$H$40</f>
        <v>493.5816634543</v>
      </c>
      <c r="J15" s="9" t="n">
        <f aca="false">H15+I15</f>
        <v>670.801608547587</v>
      </c>
      <c r="K15" s="9" t="n">
        <f aca="false">G15-J15</f>
        <v>14715.4722265265</v>
      </c>
      <c r="L15" s="9" t="n">
        <f aca="false">'BXP Final'!L15*$F$40+'CUZ Final'!L15*$G$40+'HIW Final'!L15*$H$40</f>
        <v>6313.80945341326</v>
      </c>
      <c r="M15" s="9" t="n">
        <f aca="false">'BXP Final'!M15*$F$40+'CUZ Final'!M15*$G$40+'HIW Final'!M15*$H$40</f>
        <v>2078.69752037699</v>
      </c>
      <c r="N15" s="9" t="n">
        <f aca="false">'BXP Final'!N15*$F$40+'CUZ Final'!N15*$G$40+'HIW Final'!N15*$H$40</f>
        <v>152.896146004654</v>
      </c>
      <c r="O15" s="9" t="n">
        <f aca="false">SUM(L15:N15)</f>
        <v>8545.4031197949</v>
      </c>
      <c r="P15" s="9" t="n">
        <f aca="false">G15+O15</f>
        <v>23931.676954869</v>
      </c>
      <c r="Q15" s="9" t="n">
        <f aca="false">K15+O15</f>
        <v>23260.8753463214</v>
      </c>
      <c r="R15" s="9" t="n">
        <f aca="false">'BXP Final'!R15*$F$40+'CUZ Final'!R15*$G$40+'HIW Final'!R15*$H$40</f>
        <v>889.572241678243</v>
      </c>
      <c r="U15" s="9" t="n">
        <f aca="false">'BXP Final'!U15*$F$40+'CUZ Final'!U15*$G$40+'HIW Final'!U15*$H$40</f>
        <v>236.392853653717</v>
      </c>
      <c r="V15" s="9" t="n">
        <f aca="false">R15-U15</f>
        <v>653.179388024526</v>
      </c>
      <c r="W15" s="9" t="n">
        <f aca="false">'BXP Final'!W15*$F$40+'CUZ Final'!W15*$G$40+'HIW Final'!W15*$H$40</f>
        <v>932.787250969743</v>
      </c>
      <c r="X15" s="9" t="n">
        <f aca="false">'BXP Final'!X15*$F$40+'CUZ Final'!X15*$G$40+'HIW Final'!X15*$H$40</f>
        <v>477.357927334523</v>
      </c>
      <c r="Y15" s="13" t="n">
        <f aca="false">INDEX('10 YR UST'!$B:$B,MATCH(A15,'10 YR UST'!$A:$A,0))</f>
        <v>0.0269</v>
      </c>
      <c r="Z15" s="14" t="n">
        <f aca="false">B15/Q15</f>
        <v>0.0541451373592081</v>
      </c>
      <c r="AA15" s="14" t="n">
        <f aca="false">D15/K15</f>
        <v>0.0654517139652648</v>
      </c>
      <c r="AB15" s="15" t="n">
        <f aca="false">Q15/B15</f>
        <v>18.4688791786754</v>
      </c>
      <c r="AC15" s="15" t="n">
        <f aca="false">K15/D15</f>
        <v>15.27843870568</v>
      </c>
      <c r="AD15" s="14" t="n">
        <f aca="false">'BXP Final'!AD15*$F$40+'CUZ Final'!AD15*$G$40+'HIW Final'!AD15*$H$40</f>
        <v>0.13593647574895</v>
      </c>
      <c r="AE15" s="14" t="n">
        <f aca="false">'BXP Final'!AE15*$F$40+'CUZ Final'!AE15*$G$40+'HIW Final'!AE15*$H$40</f>
        <v>0.918628671074647</v>
      </c>
      <c r="AF15" s="22" t="s">
        <v>456</v>
      </c>
      <c r="AG15" s="22" t="s">
        <v>456</v>
      </c>
    </row>
    <row r="16" customFormat="false" ht="15" hidden="false" customHeight="true" outlineLevel="0" collapsed="false">
      <c r="A16" s="6" t="n">
        <v>2017</v>
      </c>
      <c r="B16" s="9" t="n">
        <f aca="false">'BXP Final'!B16*$F$41+'CUZ Final'!B16*$G$41+'HIW Final'!B16*$H$41</f>
        <v>1188.64642526213</v>
      </c>
      <c r="C16" s="9" t="n">
        <f aca="false">'BXP Final'!C16*$F$41+'CUZ Final'!C16*$G$41+'HIW Final'!C16*$H$41</f>
        <v>270.228097437156</v>
      </c>
      <c r="D16" s="9" t="n">
        <f aca="false">B16-C16</f>
        <v>918.418327824978</v>
      </c>
      <c r="E16" s="20" t="n">
        <f aca="false">('BXP Final'!G16*$F$41+'CUZ Final'!G16*$G$41+'HIW Final'!G16*$H$41)/F16</f>
        <v>91.7128041767004</v>
      </c>
      <c r="F16" s="19" t="n">
        <f aca="false">'BXP Final'!F16*$F$41+'CUZ Final'!F16*$G$41+'HIW Final'!F16*$H$41</f>
        <v>190.051811235266</v>
      </c>
      <c r="G16" s="9" t="n">
        <f aca="false">E16*F16</f>
        <v>17430.1845472472</v>
      </c>
      <c r="H16" s="9" t="n">
        <f aca="false">'BXP Final'!H16*$F$41+'CUZ Final'!H16*$G$41+'HIW Final'!H16*$H$41</f>
        <v>162.488542437192</v>
      </c>
      <c r="I16" s="9" t="n">
        <f aca="false">'BXP Final'!I16*$F$41+'CUZ Final'!I16*$G$41+'HIW Final'!I16*$H$41</f>
        <v>988.587824384624</v>
      </c>
      <c r="J16" s="9" t="n">
        <f aca="false">H16+I16</f>
        <v>1151.07636682182</v>
      </c>
      <c r="K16" s="9" t="n">
        <f aca="false">G16-J16</f>
        <v>16279.1081804253</v>
      </c>
      <c r="L16" s="9" t="n">
        <f aca="false">'BXP Final'!L16*$F$41+'CUZ Final'!L16*$G$41+'HIW Final'!L16*$H$41</f>
        <v>5632.90213875665</v>
      </c>
      <c r="M16" s="9" t="n">
        <f aca="false">'BXP Final'!M16*$F$41+'CUZ Final'!M16*$G$41+'HIW Final'!M16*$H$41</f>
        <v>1803.11486927323</v>
      </c>
      <c r="N16" s="9" t="n">
        <f aca="false">'BXP Final'!N16*$F$41+'CUZ Final'!N16*$G$41+'HIW Final'!N16*$H$41</f>
        <v>148.640892352469</v>
      </c>
      <c r="O16" s="9" t="n">
        <f aca="false">SUM(L16:N16)</f>
        <v>7584.65790038235</v>
      </c>
      <c r="P16" s="9" t="n">
        <f aca="false">G16+O16</f>
        <v>25014.8424476295</v>
      </c>
      <c r="Q16" s="9" t="n">
        <f aca="false">K16+O16</f>
        <v>23863.7660808077</v>
      </c>
      <c r="R16" s="9" t="n">
        <f aca="false">'BXP Final'!R16*$F$41+'CUZ Final'!R16*$G$41+'HIW Final'!R16*$H$41</f>
        <v>857.375008990501</v>
      </c>
      <c r="U16" s="9" t="n">
        <f aca="false">'BXP Final'!U16*$F$41+'CUZ Final'!U16*$G$41+'HIW Final'!U16*$H$41</f>
        <v>221.636548449452</v>
      </c>
      <c r="V16" s="9" t="n">
        <f aca="false">R16-U16</f>
        <v>635.738460541049</v>
      </c>
      <c r="W16" s="9" t="n">
        <f aca="false">'BXP Final'!W16*$F$41+'CUZ Final'!W16*$G$41+'HIW Final'!W16*$H$41</f>
        <v>735.503268568175</v>
      </c>
      <c r="X16" s="9" t="n">
        <f aca="false">'BXP Final'!X16*$F$41+'CUZ Final'!X16*$G$41+'HIW Final'!X16*$H$41</f>
        <v>434.898671350216</v>
      </c>
      <c r="Y16" s="13" t="n">
        <f aca="false">INDEX('10 YR UST'!$B:$B,MATCH(A16,'10 YR UST'!$A:$A,0))</f>
        <v>0.024</v>
      </c>
      <c r="Z16" s="14" t="n">
        <f aca="false">B16/Q16</f>
        <v>0.0498096746857612</v>
      </c>
      <c r="AA16" s="14" t="n">
        <f aca="false">D16/K16</f>
        <v>0.0564169927274838</v>
      </c>
      <c r="AB16" s="15" t="n">
        <f aca="false">Q16/B16</f>
        <v>20.0764210227991</v>
      </c>
      <c r="AC16" s="15" t="n">
        <f aca="false">K16/D16</f>
        <v>17.7251560505962</v>
      </c>
      <c r="AD16" s="14" t="n">
        <f aca="false">'BXP Final'!AD16*$F$41+'CUZ Final'!AD16*$G$41+'HIW Final'!AD16*$H$41</f>
        <v>0.131786562045574</v>
      </c>
      <c r="AE16" s="14" t="n">
        <f aca="false">'BXP Final'!AE16*$F$41+'CUZ Final'!AE16*$G$41+'HIW Final'!AE16*$H$41</f>
        <v>0.914548333591293</v>
      </c>
      <c r="AF16" s="22" t="s">
        <v>456</v>
      </c>
      <c r="AG16" s="22" t="s">
        <v>456</v>
      </c>
    </row>
    <row r="17" customFormat="false" ht="15" hidden="false" customHeight="true" outlineLevel="0" collapsed="false">
      <c r="A17" s="6" t="n">
        <v>2016</v>
      </c>
      <c r="B17" s="9" t="n">
        <f aca="false">'BXP Final'!B17*$F$42+'CUZ Final'!B17*$G$42+'HIW Final'!B17*$H$42</f>
        <v>1165.3982136287</v>
      </c>
      <c r="C17" s="9" t="n">
        <f aca="false">'BXP Final'!C17*$F$42+'CUZ Final'!C17*$G$42+'HIW Final'!C17*$H$42</f>
        <v>271.354507001074</v>
      </c>
      <c r="D17" s="9" t="n">
        <f aca="false">B17-C17</f>
        <v>894.043706627625</v>
      </c>
      <c r="E17" s="20" t="n">
        <f aca="false">('BXP Final'!G17*$F$42+'CUZ Final'!G17*$G$42+'HIW Final'!G17*$H$42)/F17</f>
        <v>89.5735952919356</v>
      </c>
      <c r="F17" s="19" t="n">
        <f aca="false">'BXP Final'!F17*$F$42+'CUZ Final'!F17*$G$42+'HIW Final'!F17*$H$42</f>
        <v>187.231548921712</v>
      </c>
      <c r="G17" s="9" t="n">
        <f aca="false">E17*F17</f>
        <v>16771.0029889956</v>
      </c>
      <c r="H17" s="9" t="n">
        <f aca="false">'BXP Final'!H17*$F$42+'CUZ Final'!H17*$G$42+'HIW Final'!H17*$H$42</f>
        <v>192.002281982995</v>
      </c>
      <c r="I17" s="9" t="n">
        <f aca="false">'BXP Final'!I17*$F$42+'CUZ Final'!I17*$G$42+'HIW Final'!I17*$H$42</f>
        <v>832.021786819172</v>
      </c>
      <c r="J17" s="9" t="n">
        <f aca="false">H17+I17</f>
        <v>1024.02406880217</v>
      </c>
      <c r="K17" s="9" t="n">
        <f aca="false">G17-J17</f>
        <v>15746.9789201935</v>
      </c>
      <c r="L17" s="9" t="n">
        <f aca="false">'BXP Final'!L17*$F$42+'CUZ Final'!L17*$G$42+'HIW Final'!L17*$H$42</f>
        <v>5542.15704236718</v>
      </c>
      <c r="M17" s="9" t="n">
        <f aca="false">'BXP Final'!M17*$F$42+'CUZ Final'!M17*$G$42+'HIW Final'!M17*$H$42</f>
        <v>1402.03398713813</v>
      </c>
      <c r="N17" s="9" t="n">
        <f aca="false">'BXP Final'!N17*$F$42+'CUZ Final'!N17*$G$42+'HIW Final'!N17*$H$42</f>
        <v>148.154385095057</v>
      </c>
      <c r="O17" s="9" t="n">
        <f aca="false">SUM(L17:N17)</f>
        <v>7092.34541460037</v>
      </c>
      <c r="P17" s="9" t="n">
        <f aca="false">G17+O17</f>
        <v>23863.348403596</v>
      </c>
      <c r="Q17" s="9" t="n">
        <f aca="false">K17+O17</f>
        <v>22839.3243347938</v>
      </c>
      <c r="R17" s="9" t="n">
        <f aca="false">'BXP Final'!R17*$F$42+'CUZ Final'!R17*$G$42+'HIW Final'!R17*$H$42</f>
        <v>815.367541197321</v>
      </c>
      <c r="U17" s="9" t="n">
        <f aca="false">'BXP Final'!U17*$F$42+'CUZ Final'!U17*$G$42+'HIW Final'!U17*$H$42</f>
        <v>237.249427726978</v>
      </c>
      <c r="V17" s="9" t="n">
        <f aca="false">R17-U17</f>
        <v>578.118113470343</v>
      </c>
      <c r="W17" s="9" t="n">
        <f aca="false">'BXP Final'!W17*$F$42+'CUZ Final'!W17*$G$42+'HIW Final'!W17*$H$42</f>
        <v>807.081029559344</v>
      </c>
      <c r="X17" s="9" t="n">
        <f aca="false">'BXP Final'!X17*$F$42+'CUZ Final'!X17*$G$42+'HIW Final'!X17*$H$42</f>
        <v>515.874264503157</v>
      </c>
      <c r="Y17" s="13" t="n">
        <f aca="false">INDEX('10 YR UST'!$B:$B,MATCH(A17,'10 YR UST'!$A:$A,0))</f>
        <v>0.0245</v>
      </c>
      <c r="Z17" s="14" t="n">
        <f aca="false">B17/Q17</f>
        <v>0.0510259496535679</v>
      </c>
      <c r="AA17" s="14" t="n">
        <f aca="false">D17/K17</f>
        <v>0.0567755701686455</v>
      </c>
      <c r="AB17" s="15" t="n">
        <f aca="false">Q17/B17</f>
        <v>19.5978714122781</v>
      </c>
      <c r="AC17" s="15" t="n">
        <f aca="false">K17/D17</f>
        <v>17.6132092910668</v>
      </c>
      <c r="AD17" s="14" t="n">
        <f aca="false">'BXP Final'!AD17*$F$42+'CUZ Final'!AD17*$G$42+'HIW Final'!AD17*$H$42</f>
        <v>0.22240545742107</v>
      </c>
      <c r="AE17" s="14" t="n">
        <f aca="false">'BXP Final'!AE17*$F$42+'CUZ Final'!AE17*$G$42+'HIW Final'!AE17*$H$42</f>
        <v>0.908708175164458</v>
      </c>
      <c r="AF17" s="22" t="s">
        <v>456</v>
      </c>
      <c r="AG17" s="22" t="s">
        <v>456</v>
      </c>
    </row>
    <row r="20" customFormat="false" ht="15" hidden="false" customHeight="true" outlineLevel="0" collapsed="false">
      <c r="A20" s="6" t="s">
        <v>644</v>
      </c>
    </row>
    <row r="21" customFormat="false" ht="15" hidden="false" customHeight="true" outlineLevel="0" collapsed="false">
      <c r="A21" s="18" t="s">
        <v>645</v>
      </c>
    </row>
    <row r="22" customFormat="false" ht="15" hidden="false" customHeight="true" outlineLevel="0" collapsed="false">
      <c r="A22" s="18" t="s">
        <v>646</v>
      </c>
    </row>
    <row r="23" customFormat="false" ht="15" hidden="false" customHeight="true" outlineLevel="0" collapsed="false">
      <c r="A23" s="18" t="s">
        <v>647</v>
      </c>
    </row>
    <row r="24" customFormat="false" ht="15" hidden="false" customHeight="true" outlineLevel="0" collapsed="false">
      <c r="A24" s="18" t="s">
        <v>648</v>
      </c>
    </row>
    <row r="25" customFormat="false" ht="15" hidden="false" customHeight="true" outlineLevel="0" collapsed="false">
      <c r="A25" s="18" t="s">
        <v>649</v>
      </c>
    </row>
    <row r="26" customFormat="false" ht="15" hidden="false" customHeight="true" outlineLevel="0" collapsed="false">
      <c r="A26" s="18" t="s">
        <v>650</v>
      </c>
    </row>
    <row r="27" customFormat="false" ht="15" hidden="false" customHeight="true" outlineLevel="0" collapsed="false">
      <c r="A27" s="18" t="s">
        <v>651</v>
      </c>
    </row>
    <row r="31" customFormat="false" ht="15" hidden="false" customHeight="true" outlineLevel="0" collapsed="false">
      <c r="A31" s="6" t="s">
        <v>652</v>
      </c>
    </row>
    <row r="32" customFormat="false" ht="32.25" hidden="false" customHeight="true" outlineLevel="0" collapsed="false">
      <c r="A32" s="8" t="s">
        <v>405</v>
      </c>
      <c r="B32" s="8" t="s">
        <v>653</v>
      </c>
      <c r="C32" s="8" t="s">
        <v>654</v>
      </c>
      <c r="D32" s="8" t="s">
        <v>655</v>
      </c>
      <c r="E32" s="8" t="s">
        <v>656</v>
      </c>
      <c r="F32" s="8" t="s">
        <v>657</v>
      </c>
      <c r="G32" s="8" t="s">
        <v>658</v>
      </c>
      <c r="H32" s="8" t="s">
        <v>659</v>
      </c>
    </row>
    <row r="33" customFormat="false" ht="15" hidden="false" customHeight="true" outlineLevel="0" collapsed="false">
      <c r="A33" s="6" t="n">
        <v>2025</v>
      </c>
      <c r="B33" s="9" t="n">
        <f aca="false">'BXP Final'!Q8</f>
        <v>26403.504</v>
      </c>
      <c r="C33" s="9" t="n">
        <f aca="false">'CUZ Final'!Q8</f>
        <v>7390.92846</v>
      </c>
      <c r="D33" s="9" t="n">
        <f aca="false">'HIW Final'!Q8</f>
        <v>5881.42618</v>
      </c>
      <c r="E33" s="9" t="n">
        <f aca="false">B33+C33+D33</f>
        <v>39675.85864</v>
      </c>
      <c r="F33" s="26" t="n">
        <f aca="false">B33/$E33</f>
        <v>0.665480342582449</v>
      </c>
      <c r="G33" s="26" t="n">
        <f aca="false">C33/$E33</f>
        <v>0.186282760180738</v>
      </c>
      <c r="H33" s="26" t="n">
        <f aca="false">D33/$E33</f>
        <v>0.148236897236813</v>
      </c>
    </row>
    <row r="34" customFormat="false" ht="15" hidden="false" customHeight="true" outlineLevel="0" collapsed="false">
      <c r="A34" s="6" t="n">
        <v>2024</v>
      </c>
      <c r="B34" s="9" t="n">
        <f aca="false">'BXP Final'!Q9</f>
        <v>27868.48676</v>
      </c>
      <c r="C34" s="9" t="n">
        <f aca="false">'CUZ Final'!Q9</f>
        <v>7853.6794</v>
      </c>
      <c r="D34" s="9" t="n">
        <f aca="false">'HIW Final'!Q9</f>
        <v>6104.7215</v>
      </c>
      <c r="E34" s="9" t="n">
        <f aca="false">B34+C34+D34</f>
        <v>41826.88766</v>
      </c>
      <c r="F34" s="26" t="n">
        <f aca="false">B34/$E34</f>
        <v>0.666281626941401</v>
      </c>
      <c r="G34" s="26" t="n">
        <f aca="false">C34/$E34</f>
        <v>0.187766287174904</v>
      </c>
      <c r="H34" s="26" t="n">
        <f aca="false">D34/$E34</f>
        <v>0.145952085883695</v>
      </c>
    </row>
    <row r="35" customFormat="false" ht="15" hidden="false" customHeight="true" outlineLevel="0" collapsed="false">
      <c r="A35" s="6" t="n">
        <v>2023</v>
      </c>
      <c r="B35" s="9" t="n">
        <f aca="false">'BXP Final'!Q10</f>
        <v>26989.12355</v>
      </c>
      <c r="C35" s="9" t="n">
        <f aca="false">'CUZ Final'!Q10</f>
        <v>5790.7914</v>
      </c>
      <c r="D35" s="9" t="n">
        <f aca="false">'HIW Final'!Q10</f>
        <v>5232.96132</v>
      </c>
      <c r="E35" s="9" t="n">
        <f aca="false">B35+C35+D35</f>
        <v>38012.87627</v>
      </c>
      <c r="F35" s="26" t="n">
        <f aca="false">B35/$E35</f>
        <v>0.709999510647396</v>
      </c>
      <c r="G35" s="26" t="n">
        <f aca="false">C35/$E35</f>
        <v>0.152337627883479</v>
      </c>
      <c r="H35" s="26" t="n">
        <f aca="false">D35/$E35</f>
        <v>0.137662861469125</v>
      </c>
    </row>
    <row r="36" customFormat="false" ht="15" hidden="false" customHeight="true" outlineLevel="0" collapsed="false">
      <c r="A36" s="6" t="n">
        <v>2022</v>
      </c>
      <c r="B36" s="9" t="n">
        <f aca="false">'BXP Final'!Q11</f>
        <v>25178.57044</v>
      </c>
      <c r="C36" s="9" t="n">
        <f aca="false">'CUZ Final'!Q11</f>
        <v>5838.49178</v>
      </c>
      <c r="D36" s="9" t="n">
        <f aca="false">'HIW Final'!Q11</f>
        <v>5861.84562</v>
      </c>
      <c r="E36" s="9" t="n">
        <f aca="false">B36+C36+D36</f>
        <v>36878.90784</v>
      </c>
      <c r="F36" s="26" t="n">
        <f aca="false">B36/$E36</f>
        <v>0.682736336695159</v>
      </c>
      <c r="G36" s="26" t="n">
        <f aca="false">C36/$E36</f>
        <v>0.158315202969959</v>
      </c>
      <c r="H36" s="26" t="n">
        <f aca="false">D36/$E36</f>
        <v>0.158948460334882</v>
      </c>
    </row>
    <row r="37" customFormat="false" ht="15" hidden="false" customHeight="true" outlineLevel="0" collapsed="false">
      <c r="A37" s="6" t="n">
        <v>2021</v>
      </c>
      <c r="B37" s="9" t="n">
        <f aca="false">'BXP Final'!Q12</f>
        <v>31578.89656</v>
      </c>
      <c r="C37" s="9" t="n">
        <f aca="false">'CUZ Final'!Q12</f>
        <v>7788.72564</v>
      </c>
      <c r="D37" s="9" t="n">
        <f aca="false">'HIW Final'!Q12</f>
        <v>7299.44782</v>
      </c>
      <c r="E37" s="9" t="n">
        <f aca="false">B37+C37+D37</f>
        <v>46667.07002</v>
      </c>
      <c r="F37" s="26" t="n">
        <f aca="false">B37/$E37</f>
        <v>0.676684791791435</v>
      </c>
      <c r="G37" s="26" t="n">
        <f aca="false">C37/$E37</f>
        <v>0.166899821151446</v>
      </c>
      <c r="H37" s="26" t="n">
        <f aca="false">D37/$E37</f>
        <v>0.15641538705712</v>
      </c>
    </row>
    <row r="38" customFormat="false" ht="15" hidden="false" customHeight="true" outlineLevel="0" collapsed="false">
      <c r="A38" s="6" t="n">
        <v>2020</v>
      </c>
      <c r="B38" s="9" t="n">
        <f aca="false">'BXP Final'!Q13</f>
        <v>28249.42676</v>
      </c>
      <c r="C38" s="9" t="n">
        <f aca="false">'CUZ Final'!Q13</f>
        <v>6764.6495</v>
      </c>
      <c r="D38" s="9" t="n">
        <f aca="false">'HIW Final'!Q13</f>
        <v>6213.43043</v>
      </c>
      <c r="E38" s="9" t="n">
        <f aca="false">B38+C38+D38</f>
        <v>41227.50669</v>
      </c>
      <c r="F38" s="26" t="n">
        <f aca="false">B38/$E38</f>
        <v>0.685208226934861</v>
      </c>
      <c r="G38" s="26" t="n">
        <f aca="false">C38/$E38</f>
        <v>0.164080975133061</v>
      </c>
      <c r="H38" s="26" t="n">
        <f aca="false">D38/$E38</f>
        <v>0.150710797932078</v>
      </c>
    </row>
    <row r="39" customFormat="false" ht="15" hidden="false" customHeight="true" outlineLevel="0" collapsed="false">
      <c r="A39" s="6" t="n">
        <v>2019</v>
      </c>
      <c r="B39" s="9" t="n">
        <f aca="false">'BXP Final'!Q14</f>
        <v>34555.64428</v>
      </c>
      <c r="C39" s="9" t="n">
        <f aca="false">'CUZ Final'!Q14</f>
        <v>7980.7542</v>
      </c>
      <c r="D39" s="9" t="n">
        <f aca="false">'HIW Final'!Q14</f>
        <v>7472.0268</v>
      </c>
      <c r="E39" s="9" t="n">
        <f aca="false">B39+C39+D39</f>
        <v>50008.42528</v>
      </c>
      <c r="F39" s="26" t="n">
        <f aca="false">B39/$E39</f>
        <v>0.690996448828792</v>
      </c>
      <c r="G39" s="26" t="n">
        <f aca="false">C39/$E39</f>
        <v>0.159588192495871</v>
      </c>
      <c r="H39" s="26" t="n">
        <f aca="false">D39/$E39</f>
        <v>0.149415358675337</v>
      </c>
    </row>
    <row r="40" customFormat="false" ht="15" hidden="false" customHeight="true" outlineLevel="0" collapsed="false">
      <c r="A40" s="6" t="n">
        <v>2018</v>
      </c>
      <c r="B40" s="9" t="n">
        <f aca="false">'BXP Final'!Q15</f>
        <v>29499.08715</v>
      </c>
      <c r="C40" s="9" t="n">
        <f aca="false">'CUZ Final'!Q15</f>
        <v>4425.4601</v>
      </c>
      <c r="D40" s="9" t="n">
        <f aca="false">'HIW Final'!Q15</f>
        <v>5748.18424</v>
      </c>
      <c r="E40" s="9" t="n">
        <f aca="false">B40+C40+D40</f>
        <v>39672.73149</v>
      </c>
      <c r="F40" s="26" t="n">
        <f aca="false">B40/$E40</f>
        <v>0.743560779459705</v>
      </c>
      <c r="G40" s="26" t="n">
        <f aca="false">C40/$E40</f>
        <v>0.111549165731517</v>
      </c>
      <c r="H40" s="26" t="n">
        <f aca="false">D40/$E40</f>
        <v>0.144890054808777</v>
      </c>
    </row>
    <row r="41" customFormat="false" ht="15" hidden="false" customHeight="true" outlineLevel="0" collapsed="false">
      <c r="A41" s="6" t="n">
        <v>2017</v>
      </c>
      <c r="B41" s="9" t="n">
        <f aca="false">'BXP Final'!Q16</f>
        <v>30756.121</v>
      </c>
      <c r="C41" s="9" t="n">
        <f aca="false">'CUZ Final'!Q16</f>
        <v>4877.77775</v>
      </c>
      <c r="D41" s="9" t="n">
        <f aca="false">'HIW Final'!Q16</f>
        <v>7136.34736</v>
      </c>
      <c r="E41" s="9" t="n">
        <f aca="false">B41+C41+D41</f>
        <v>42770.24611</v>
      </c>
      <c r="F41" s="26" t="n">
        <f aca="false">B41/$E41</f>
        <v>0.719100865608744</v>
      </c>
      <c r="G41" s="26" t="n">
        <f aca="false">C41/$E41</f>
        <v>0.114046052890482</v>
      </c>
      <c r="H41" s="26" t="n">
        <f aca="false">D41/$E41</f>
        <v>0.166853081500774</v>
      </c>
    </row>
    <row r="42" customFormat="false" ht="15" hidden="false" customHeight="true" outlineLevel="0" collapsed="false">
      <c r="A42" s="6" t="n">
        <v>2016</v>
      </c>
      <c r="B42" s="9" t="n">
        <f aca="false">'BXP Final'!Q17</f>
        <v>29490.972</v>
      </c>
      <c r="C42" s="9" t="n">
        <f aca="false">'CUZ Final'!Q17</f>
        <v>4782.13996</v>
      </c>
      <c r="D42" s="9" t="n">
        <f aca="false">'HIW Final'!Q17</f>
        <v>6881.25805</v>
      </c>
      <c r="E42" s="9" t="n">
        <f aca="false">B42+C42+D42</f>
        <v>41154.37001</v>
      </c>
      <c r="F42" s="26" t="n">
        <f aca="false">B42/$E42</f>
        <v>0.716593936265676</v>
      </c>
      <c r="G42" s="26" t="n">
        <f aca="false">C42/$E42</f>
        <v>0.116200052602871</v>
      </c>
      <c r="H42" s="26" t="n">
        <f aca="false">D42/$E42</f>
        <v>0.167206011131453</v>
      </c>
    </row>
    <row r="45" customFormat="false" ht="15" hidden="false" customHeight="true" outlineLevel="0" collapsed="false">
      <c r="A45" s="6" t="s">
        <v>660</v>
      </c>
    </row>
    <row r="47" customFormat="false" ht="15" hidden="false" customHeight="true" outlineLevel="0" collapsed="false">
      <c r="A47" s="6" t="s">
        <v>661</v>
      </c>
    </row>
    <row r="48" customFormat="false" ht="15" hidden="false" customHeight="true" outlineLevel="0" collapsed="false">
      <c r="A48" s="22" t="str">
        <f aca="false">'BXP Final'!A8</f>
        <v>2025</v>
      </c>
      <c r="B48" s="9" t="n">
        <f aca="false">'BXP Final'!B8</f>
        <v>1976.785</v>
      </c>
      <c r="C48" s="9" t="n">
        <f aca="false">'BXP Final'!C8</f>
        <v>671.05981238777</v>
      </c>
      <c r="D48" s="9" t="n">
        <f aca="false">'BXP Final'!D8</f>
        <v>1305.72518761223</v>
      </c>
      <c r="E48" s="20" t="n">
        <f aca="false">'BXP Final'!E8</f>
        <v>67.48</v>
      </c>
      <c r="F48" s="19" t="n">
        <f aca="false">'BXP Final'!F8</f>
        <v>176.8</v>
      </c>
      <c r="G48" s="9" t="n">
        <f aca="false">'BXP Final'!G8</f>
        <v>11930.464</v>
      </c>
      <c r="H48" s="9" t="n">
        <f aca="false">'BXP Final'!H8</f>
        <v>518.492</v>
      </c>
      <c r="I48" s="9" t="n">
        <f aca="false">'BXP Final'!I8</f>
        <v>1475.257</v>
      </c>
      <c r="J48" s="9" t="n">
        <f aca="false">'BXP Final'!J8</f>
        <v>1993.749</v>
      </c>
      <c r="K48" s="9" t="n">
        <f aca="false">'BXP Final'!K8</f>
        <v>9936.715</v>
      </c>
      <c r="L48" s="9" t="n">
        <f aca="false">'BXP Final'!L8</f>
        <v>12311.42</v>
      </c>
      <c r="M48" s="9" t="n">
        <f aca="false">'BXP Final'!M8</f>
        <v>4155.369</v>
      </c>
      <c r="N48" s="9" t="n">
        <f aca="false">'BXP Final'!N8</f>
        <v>0</v>
      </c>
      <c r="O48" s="9" t="n">
        <f aca="false">'BXP Final'!O8</f>
        <v>16466.789</v>
      </c>
      <c r="P48" s="9" t="n">
        <f aca="false">'BXP Final'!P8</f>
        <v>28397.253</v>
      </c>
      <c r="Q48" s="9" t="n">
        <f aca="false">'BXP Final'!Q8</f>
        <v>26403.504</v>
      </c>
      <c r="R48" s="9" t="n">
        <f aca="false">'BXP Final'!R8</f>
        <v>1209.636</v>
      </c>
      <c r="S48" s="9" t="str">
        <f aca="false">'BXP Final'!S8</f>
        <v>n/d</v>
      </c>
      <c r="T48" s="9" t="str">
        <f aca="false">'BXP Final'!T8</f>
        <v>n/d</v>
      </c>
      <c r="U48" s="9" t="n">
        <f aca="false">'BXP Final'!U8</f>
        <v>372.18124944</v>
      </c>
      <c r="V48" s="9" t="n">
        <f aca="false">'BXP Final'!V8</f>
        <v>837.45475056</v>
      </c>
      <c r="W48" s="9" t="n">
        <f aca="false">'BXP Final'!W8</f>
        <v>1245.157</v>
      </c>
      <c r="X48" s="9" t="n">
        <f aca="false">'BXP Final'!X8</f>
        <v>643.107</v>
      </c>
      <c r="Y48" s="14" t="n">
        <f aca="false">'BXP Final'!Y8</f>
        <v>0.0418</v>
      </c>
      <c r="Z48" s="14" t="n">
        <f aca="false">'BXP Final'!Z8</f>
        <v>0.0748682826340019</v>
      </c>
      <c r="AA48" s="14" t="n">
        <f aca="false">'BXP Final'!AA8</f>
        <v>0.131404109669265</v>
      </c>
      <c r="AB48" s="15" t="n">
        <f aca="false">'BXP Final'!AB8</f>
        <v>13.3567909509633</v>
      </c>
      <c r="AC48" s="15" t="n">
        <f aca="false">'BXP Final'!AC8</f>
        <v>7.61011206207272</v>
      </c>
      <c r="AD48" s="14" t="n">
        <f aca="false">'BXP Final'!AD8</f>
        <v>-0.0541</v>
      </c>
      <c r="AE48" s="14" t="n">
        <f aca="false">'BXP Final'!AE8</f>
        <v>0.867</v>
      </c>
      <c r="AF48" s="9" t="str">
        <f aca="false">'BXP Final'!AF8</f>
        <v>n/d</v>
      </c>
      <c r="AG48" s="9" t="str">
        <f aca="false">'BXP Final'!AG8</f>
        <v>n/d</v>
      </c>
    </row>
    <row r="49" customFormat="false" ht="15" hidden="false" customHeight="true" outlineLevel="0" collapsed="false">
      <c r="A49" s="22" t="str">
        <f aca="false">'BXP Final'!A9</f>
        <v>2024</v>
      </c>
      <c r="B49" s="9" t="n">
        <f aca="false">'BXP Final'!B9</f>
        <v>1984.056</v>
      </c>
      <c r="C49" s="9" t="n">
        <f aca="false">'BXP Final'!C9</f>
        <v>671.040564170433</v>
      </c>
      <c r="D49" s="9" t="n">
        <f aca="false">'BXP Final'!D9</f>
        <v>1313.01543582957</v>
      </c>
      <c r="E49" s="20" t="n">
        <f aca="false">'BXP Final'!E9</f>
        <v>74.36</v>
      </c>
      <c r="F49" s="19" t="n">
        <f aca="false">'BXP Final'!F9</f>
        <v>176.241</v>
      </c>
      <c r="G49" s="9" t="n">
        <f aca="false">'BXP Final'!G9</f>
        <v>13105.28076</v>
      </c>
      <c r="H49" s="9" t="n">
        <f aca="false">'BXP Final'!H9</f>
        <v>714.05</v>
      </c>
      <c r="I49" s="9" t="n">
        <f aca="false">'BXP Final'!I9</f>
        <v>764.64</v>
      </c>
      <c r="J49" s="9" t="n">
        <f aca="false">'BXP Final'!J9</f>
        <v>1478.69</v>
      </c>
      <c r="K49" s="9" t="n">
        <f aca="false">'BXP Final'!K9</f>
        <v>11626.59076</v>
      </c>
      <c r="L49" s="9" t="n">
        <f aca="false">'BXP Final'!L9</f>
        <v>11918.186</v>
      </c>
      <c r="M49" s="9" t="n">
        <f aca="false">'BXP Final'!M9</f>
        <v>4323.71</v>
      </c>
      <c r="N49" s="9" t="n">
        <f aca="false">'BXP Final'!N9</f>
        <v>0</v>
      </c>
      <c r="O49" s="9" t="n">
        <f aca="false">'BXP Final'!O9</f>
        <v>16241.896</v>
      </c>
      <c r="P49" s="9" t="n">
        <f aca="false">'BXP Final'!P9</f>
        <v>29347.17676</v>
      </c>
      <c r="Q49" s="9" t="n">
        <f aca="false">'BXP Final'!Q9</f>
        <v>27868.48676</v>
      </c>
      <c r="R49" s="9" t="n">
        <f aca="false">'BXP Final'!R9</f>
        <v>1248.026</v>
      </c>
      <c r="S49" s="9" t="str">
        <f aca="false">'BXP Final'!S9</f>
        <v>n/d</v>
      </c>
      <c r="T49" s="9" t="str">
        <f aca="false">'BXP Final'!T9</f>
        <v>n/d</v>
      </c>
      <c r="U49" s="9" t="n">
        <f aca="false">'BXP Final'!U9</f>
        <v>319.03471704</v>
      </c>
      <c r="V49" s="9" t="n">
        <f aca="false">'BXP Final'!V9</f>
        <v>928.99128296</v>
      </c>
      <c r="W49" s="9" t="n">
        <f aca="false">'BXP Final'!W9</f>
        <v>1234.501</v>
      </c>
      <c r="X49" s="9" t="n">
        <f aca="false">'BXP Final'!X9</f>
        <v>689.87</v>
      </c>
      <c r="Y49" s="14" t="n">
        <f aca="false">'BXP Final'!Y9</f>
        <v>0.0458</v>
      </c>
      <c r="Z49" s="14" t="n">
        <f aca="false">'BXP Final'!Z9</f>
        <v>0.0711935318586347</v>
      </c>
      <c r="AA49" s="14" t="n">
        <f aca="false">'BXP Final'!AA9</f>
        <v>0.112932110790968</v>
      </c>
      <c r="AB49" s="15" t="n">
        <f aca="false">'BXP Final'!AB9</f>
        <v>14.0462198446012</v>
      </c>
      <c r="AC49" s="15" t="n">
        <f aca="false">'BXP Final'!AC9</f>
        <v>8.85487743916299</v>
      </c>
      <c r="AD49" s="14" t="n">
        <f aca="false">'BXP Final'!AD9</f>
        <v>0.0179</v>
      </c>
      <c r="AE49" s="14" t="n">
        <f aca="false">'BXP Final'!AE9</f>
        <v>0.875</v>
      </c>
      <c r="AF49" s="9" t="str">
        <f aca="false">'BXP Final'!AF9</f>
        <v>n/d</v>
      </c>
      <c r="AG49" s="9" t="str">
        <f aca="false">'BXP Final'!AG9</f>
        <v>n/d</v>
      </c>
    </row>
    <row r="50" customFormat="false" ht="15" hidden="false" customHeight="true" outlineLevel="0" collapsed="false">
      <c r="A50" s="22" t="str">
        <f aca="false">'BXP Final'!A10</f>
        <v>2023</v>
      </c>
      <c r="B50" s="9" t="n">
        <f aca="false">'BXP Final'!B10</f>
        <v>1965.106</v>
      </c>
      <c r="C50" s="9" t="n">
        <f aca="false">'BXP Final'!C10</f>
        <v>619.579210858912</v>
      </c>
      <c r="D50" s="9" t="n">
        <f aca="false">'BXP Final'!D10</f>
        <v>1345.52678914109</v>
      </c>
      <c r="E50" s="20" t="n">
        <f aca="false">'BXP Final'!E10</f>
        <v>70.17</v>
      </c>
      <c r="F50" s="19" t="n">
        <f aca="false">'BXP Final'!F10</f>
        <v>175.515</v>
      </c>
      <c r="G50" s="9" t="n">
        <f aca="false">'BXP Final'!G10</f>
        <v>12315.88755</v>
      </c>
      <c r="H50" s="9" t="n">
        <f aca="false">'BXP Final'!H10</f>
        <v>697.061</v>
      </c>
      <c r="I50" s="9" t="n">
        <f aca="false">'BXP Final'!I10</f>
        <v>547.28</v>
      </c>
      <c r="J50" s="9" t="n">
        <f aca="false">'BXP Final'!J10</f>
        <v>1244.341</v>
      </c>
      <c r="K50" s="9" t="n">
        <f aca="false">'BXP Final'!K10</f>
        <v>11071.54655</v>
      </c>
      <c r="L50" s="9" t="n">
        <f aca="false">'BXP Final'!L10</f>
        <v>11656.297</v>
      </c>
      <c r="M50" s="9" t="n">
        <f aca="false">'BXP Final'!M10</f>
        <v>4261.28</v>
      </c>
      <c r="N50" s="9" t="n">
        <f aca="false">'BXP Final'!N10</f>
        <v>0</v>
      </c>
      <c r="O50" s="9" t="n">
        <f aca="false">'BXP Final'!O10</f>
        <v>15917.577</v>
      </c>
      <c r="P50" s="9" t="n">
        <f aca="false">'BXP Final'!P10</f>
        <v>28233.46455</v>
      </c>
      <c r="Q50" s="9" t="n">
        <f aca="false">'BXP Final'!Q10</f>
        <v>26989.12355</v>
      </c>
      <c r="R50" s="9" t="n">
        <f aca="false">'BXP Final'!R10</f>
        <v>1274.568</v>
      </c>
      <c r="S50" s="9" t="str">
        <f aca="false">'BXP Final'!S10</f>
        <v>n/d</v>
      </c>
      <c r="T50" s="9" t="str">
        <f aca="false">'BXP Final'!T10</f>
        <v>n/d</v>
      </c>
      <c r="U50" s="9" t="n">
        <f aca="false">'BXP Final'!U10</f>
        <v>285.57568924</v>
      </c>
      <c r="V50" s="9" t="n">
        <f aca="false">'BXP Final'!V10</f>
        <v>988.99231076</v>
      </c>
      <c r="W50" s="9" t="n">
        <f aca="false">'BXP Final'!W10</f>
        <v>1301.52</v>
      </c>
      <c r="X50" s="9" t="n">
        <f aca="false">'BXP Final'!X10</f>
        <v>687.809</v>
      </c>
      <c r="Y50" s="14" t="n">
        <f aca="false">'BXP Final'!Y10</f>
        <v>0.0388</v>
      </c>
      <c r="Z50" s="14" t="n">
        <f aca="false">'BXP Final'!Z10</f>
        <v>0.0728110342805111</v>
      </c>
      <c r="AA50" s="14" t="n">
        <f aca="false">'BXP Final'!AA10</f>
        <v>0.121530156881388</v>
      </c>
      <c r="AB50" s="15" t="n">
        <f aca="false">'BXP Final'!AB10</f>
        <v>13.7341820492126</v>
      </c>
      <c r="AC50" s="15" t="n">
        <f aca="false">'BXP Final'!AC10</f>
        <v>8.22841034407608</v>
      </c>
      <c r="AD50" s="14" t="n">
        <f aca="false">'BXP Final'!AD10</f>
        <v>0.0048</v>
      </c>
      <c r="AE50" s="14" t="n">
        <f aca="false">'BXP Final'!AE10</f>
        <v>0.884</v>
      </c>
      <c r="AF50" s="9" t="str">
        <f aca="false">'BXP Final'!AF10</f>
        <v>n/d</v>
      </c>
      <c r="AG50" s="9" t="str">
        <f aca="false">'BXP Final'!AG10</f>
        <v>n/d</v>
      </c>
    </row>
    <row r="51" customFormat="false" ht="15" hidden="false" customHeight="true" outlineLevel="0" collapsed="false">
      <c r="A51" s="22" t="str">
        <f aca="false">'BXP Final'!A11</f>
        <v>2022</v>
      </c>
      <c r="B51" s="9" t="n">
        <f aca="false">'BXP Final'!B11</f>
        <v>1883.796</v>
      </c>
      <c r="C51" s="9" t="n">
        <f aca="false">'BXP Final'!C11</f>
        <v>471.698799696472</v>
      </c>
      <c r="D51" s="9" t="n">
        <f aca="false">'BXP Final'!D11</f>
        <v>1412.09720030353</v>
      </c>
      <c r="E51" s="20" t="n">
        <f aca="false">'BXP Final'!E11</f>
        <v>67.58</v>
      </c>
      <c r="F51" s="19" t="n">
        <f aca="false">'BXP Final'!F11</f>
        <v>174.968</v>
      </c>
      <c r="G51" s="9" t="n">
        <f aca="false">'BXP Final'!G11</f>
        <v>11824.33744</v>
      </c>
      <c r="H51" s="9" t="n">
        <f aca="false">'BXP Final'!H11</f>
        <v>721.501</v>
      </c>
      <c r="I51" s="9" t="n">
        <f aca="false">'BXP Final'!I11</f>
        <v>406.574</v>
      </c>
      <c r="J51" s="9" t="n">
        <f aca="false">'BXP Final'!J11</f>
        <v>1128.075</v>
      </c>
      <c r="K51" s="9" t="n">
        <f aca="false">'BXP Final'!K11</f>
        <v>10696.26244</v>
      </c>
      <c r="L51" s="9" t="n">
        <f aca="false">'BXP Final'!L11</f>
        <v>10940.336</v>
      </c>
      <c r="M51" s="9" t="n">
        <f aca="false">'BXP Final'!M11</f>
        <v>3541.972</v>
      </c>
      <c r="N51" s="9" t="n">
        <f aca="false">'BXP Final'!N11</f>
        <v>0</v>
      </c>
      <c r="O51" s="9" t="n">
        <f aca="false">'BXP Final'!O11</f>
        <v>14482.308</v>
      </c>
      <c r="P51" s="9" t="n">
        <f aca="false">'BXP Final'!P11</f>
        <v>26306.64544</v>
      </c>
      <c r="Q51" s="9" t="n">
        <f aca="false">'BXP Final'!Q11</f>
        <v>25178.57044</v>
      </c>
      <c r="R51" s="9" t="n">
        <f aca="false">'BXP Final'!R11</f>
        <v>1316.668</v>
      </c>
      <c r="S51" s="9" t="str">
        <f aca="false">'BXP Final'!S11</f>
        <v>n/d</v>
      </c>
      <c r="T51" s="9" t="str">
        <f aca="false">'BXP Final'!T11</f>
        <v>n/d</v>
      </c>
      <c r="U51" s="9" t="n">
        <f aca="false">'BXP Final'!U11</f>
        <v>477.7550802</v>
      </c>
      <c r="V51" s="9" t="n">
        <f aca="false">'BXP Final'!V11</f>
        <v>838.9129198</v>
      </c>
      <c r="W51" s="9" t="n">
        <f aca="false">'BXP Final'!W11</f>
        <v>1282.399</v>
      </c>
      <c r="X51" s="9" t="n">
        <f aca="false">'BXP Final'!X11</f>
        <v>685.019</v>
      </c>
      <c r="Y51" s="14" t="n">
        <f aca="false">'BXP Final'!Y11</f>
        <v>0.0388</v>
      </c>
      <c r="Z51" s="14" t="n">
        <f aca="false">'BXP Final'!Z11</f>
        <v>0.0748174327247469</v>
      </c>
      <c r="AA51" s="14" t="n">
        <f aca="false">'BXP Final'!AA11</f>
        <v>0.132017815402772</v>
      </c>
      <c r="AB51" s="15" t="n">
        <f aca="false">'BXP Final'!AB11</f>
        <v>13.3658689369762</v>
      </c>
      <c r="AC51" s="15" t="n">
        <f aca="false">'BXP Final'!AC11</f>
        <v>7.57473525030774</v>
      </c>
      <c r="AD51" s="14" t="n">
        <f aca="false">'BXP Final'!AD11</f>
        <v>0.0529</v>
      </c>
      <c r="AE51" s="14" t="n">
        <f aca="false">'BXP Final'!AE11</f>
        <v>0.886</v>
      </c>
      <c r="AF51" s="9" t="str">
        <f aca="false">'BXP Final'!AF11</f>
        <v>n/d</v>
      </c>
      <c r="AG51" s="9" t="str">
        <f aca="false">'BXP Final'!AG11</f>
        <v>n/d</v>
      </c>
    </row>
    <row r="52" customFormat="false" ht="15" hidden="false" customHeight="true" outlineLevel="0" collapsed="false">
      <c r="A52" s="22" t="str">
        <f aca="false">'BXP Final'!A12</f>
        <v>2021</v>
      </c>
      <c r="B52" s="9" t="n">
        <f aca="false">'BXP Final'!B12</f>
        <v>1735.74</v>
      </c>
      <c r="C52" s="9" t="n">
        <f aca="false">'BXP Final'!C12</f>
        <v>428.102604562039</v>
      </c>
      <c r="D52" s="9" t="n">
        <f aca="false">'BXP Final'!D12</f>
        <v>1307.63739543796</v>
      </c>
      <c r="E52" s="20" t="n">
        <f aca="false">'BXP Final'!E12</f>
        <v>115.18</v>
      </c>
      <c r="F52" s="19" t="n">
        <f aca="false">'BXP Final'!F12</f>
        <v>174.592</v>
      </c>
      <c r="G52" s="9" t="n">
        <f aca="false">'BXP Final'!G12</f>
        <v>20109.50656</v>
      </c>
      <c r="H52" s="9" t="n">
        <f aca="false">'BXP Final'!H12</f>
        <v>560.355</v>
      </c>
      <c r="I52" s="9" t="n">
        <f aca="false">'BXP Final'!I12</f>
        <v>894.172</v>
      </c>
      <c r="J52" s="9" t="n">
        <f aca="false">'BXP Final'!J12</f>
        <v>1454.527</v>
      </c>
      <c r="K52" s="9" t="n">
        <f aca="false">'BXP Final'!K12</f>
        <v>18654.97956</v>
      </c>
      <c r="L52" s="9" t="n">
        <f aca="false">'BXP Final'!L12</f>
        <v>9596.609</v>
      </c>
      <c r="M52" s="9" t="n">
        <f aca="false">'BXP Final'!M12</f>
        <v>3327.308</v>
      </c>
      <c r="N52" s="9" t="n">
        <f aca="false">'BXP Final'!N12</f>
        <v>0</v>
      </c>
      <c r="O52" s="9" t="n">
        <f aca="false">'BXP Final'!O12</f>
        <v>12923.917</v>
      </c>
      <c r="P52" s="9" t="n">
        <f aca="false">'BXP Final'!P12</f>
        <v>33033.42356</v>
      </c>
      <c r="Q52" s="9" t="n">
        <f aca="false">'BXP Final'!Q12</f>
        <v>31578.89656</v>
      </c>
      <c r="R52" s="9" t="n">
        <f aca="false">'BXP Final'!R12</f>
        <v>1137.961</v>
      </c>
      <c r="S52" s="9" t="str">
        <f aca="false">'BXP Final'!S12</f>
        <v>n/d</v>
      </c>
      <c r="T52" s="9" t="str">
        <f aca="false">'BXP Final'!T12</f>
        <v>n/d</v>
      </c>
      <c r="U52" s="9" t="n">
        <f aca="false">'BXP Final'!U12</f>
        <v>329.24262497</v>
      </c>
      <c r="V52" s="9" t="n">
        <f aca="false">'BXP Final'!V12</f>
        <v>808.71837503</v>
      </c>
      <c r="W52" s="9" t="n">
        <f aca="false">'BXP Final'!W12</f>
        <v>1133.227</v>
      </c>
      <c r="X52" s="9" t="n">
        <f aca="false">'BXP Final'!X12</f>
        <v>683.753</v>
      </c>
      <c r="Y52" s="14" t="n">
        <f aca="false">'BXP Final'!Y12</f>
        <v>0.0152</v>
      </c>
      <c r="Z52" s="14" t="n">
        <f aca="false">'BXP Final'!Z12</f>
        <v>0.0549651884353238</v>
      </c>
      <c r="AA52" s="14" t="n">
        <f aca="false">'BXP Final'!AA12</f>
        <v>0.0700958900132915</v>
      </c>
      <c r="AB52" s="15" t="n">
        <f aca="false">'BXP Final'!AB12</f>
        <v>18.193333425513</v>
      </c>
      <c r="AC52" s="15" t="n">
        <f aca="false">'BXP Final'!AC12</f>
        <v>14.2661716658478</v>
      </c>
      <c r="AD52" s="14" t="n">
        <f aca="false">'BXP Final'!AD12</f>
        <v>-0.0031</v>
      </c>
      <c r="AE52" s="14" t="n">
        <f aca="false">'BXP Final'!AE12</f>
        <v>0.888</v>
      </c>
      <c r="AF52" s="9" t="str">
        <f aca="false">'BXP Final'!AF12</f>
        <v>n/d</v>
      </c>
      <c r="AG52" s="9" t="str">
        <f aca="false">'BXP Final'!AG12</f>
        <v>n/d</v>
      </c>
    </row>
    <row r="53" customFormat="false" ht="15" hidden="false" customHeight="true" outlineLevel="0" collapsed="false">
      <c r="A53" s="22" t="str">
        <f aca="false">'BXP Final'!A13</f>
        <v>2020</v>
      </c>
      <c r="B53" s="9" t="n">
        <f aca="false">'BXP Final'!B13</f>
        <v>1626.131</v>
      </c>
      <c r="C53" s="9" t="n">
        <f aca="false">'BXP Final'!C13</f>
        <v>436.416154601709</v>
      </c>
      <c r="D53" s="9" t="n">
        <f aca="false">'BXP Final'!D13</f>
        <v>1189.71484539829</v>
      </c>
      <c r="E53" s="20" t="n">
        <f aca="false">'BXP Final'!E13</f>
        <v>94.53</v>
      </c>
      <c r="F53" s="19" t="n">
        <f aca="false">'BXP Final'!F13</f>
        <v>173.092</v>
      </c>
      <c r="G53" s="9" t="n">
        <f aca="false">'BXP Final'!G13</f>
        <v>16362.38676</v>
      </c>
      <c r="H53" s="9" t="n">
        <f aca="false">'BXP Final'!H13</f>
        <v>450.954</v>
      </c>
      <c r="I53" s="9" t="n">
        <f aca="false">'BXP Final'!I13</f>
        <v>868.773</v>
      </c>
      <c r="J53" s="9" t="n">
        <f aca="false">'BXP Final'!J13</f>
        <v>1319.727</v>
      </c>
      <c r="K53" s="9" t="n">
        <f aca="false">'BXP Final'!K13</f>
        <v>15042.65976</v>
      </c>
      <c r="L53" s="9" t="n">
        <f aca="false">'BXP Final'!L13</f>
        <v>10115.772</v>
      </c>
      <c r="M53" s="9" t="n">
        <f aca="false">'BXP Final'!M13</f>
        <v>2890.995</v>
      </c>
      <c r="N53" s="9" t="n">
        <f aca="false">'BXP Final'!N13</f>
        <v>200</v>
      </c>
      <c r="O53" s="9" t="n">
        <f aca="false">'BXP Final'!O13</f>
        <v>13206.767</v>
      </c>
      <c r="P53" s="9" t="n">
        <f aca="false">'BXP Final'!P13</f>
        <v>29569.15376</v>
      </c>
      <c r="Q53" s="9" t="n">
        <f aca="false">'BXP Final'!Q13</f>
        <v>28249.42676</v>
      </c>
      <c r="R53" s="9" t="n">
        <f aca="false">'BXP Final'!R13</f>
        <v>1086.501</v>
      </c>
      <c r="S53" s="9" t="str">
        <f aca="false">'BXP Final'!S13</f>
        <v>n/d</v>
      </c>
      <c r="T53" s="9" t="str">
        <f aca="false">'BXP Final'!T13</f>
        <v>n/d</v>
      </c>
      <c r="U53" s="9" t="n">
        <f aca="false">'BXP Final'!U13</f>
        <v>345.96351328</v>
      </c>
      <c r="V53" s="9" t="n">
        <f aca="false">'BXP Final'!V13</f>
        <v>740.53748672</v>
      </c>
      <c r="W53" s="9" t="n">
        <f aca="false">'BXP Final'!W13</f>
        <v>1156.84</v>
      </c>
      <c r="X53" s="9" t="n">
        <f aca="false">'BXP Final'!X13</f>
        <v>688.904</v>
      </c>
      <c r="Y53" s="14" t="n">
        <f aca="false">'BXP Final'!Y13</f>
        <v>0.0093</v>
      </c>
      <c r="Z53" s="14" t="n">
        <f aca="false">'BXP Final'!Z13</f>
        <v>0.0575633273487352</v>
      </c>
      <c r="AA53" s="14" t="n">
        <f aca="false">'BXP Final'!AA13</f>
        <v>0.0790893940552898</v>
      </c>
      <c r="AB53" s="15" t="n">
        <f aca="false">'BXP Final'!AB13</f>
        <v>17.3721715901117</v>
      </c>
      <c r="AC53" s="15" t="n">
        <f aca="false">'BXP Final'!AC13</f>
        <v>12.6439203630884</v>
      </c>
      <c r="AD53" s="14" t="n">
        <f aca="false">'BXP Final'!AD13</f>
        <v>0.2334</v>
      </c>
      <c r="AE53" s="14" t="n">
        <f aca="false">'BXP Final'!AE13</f>
        <v>0.901</v>
      </c>
      <c r="AF53" s="9" t="str">
        <f aca="false">'BXP Final'!AF13</f>
        <v>n/d</v>
      </c>
      <c r="AG53" s="9" t="str">
        <f aca="false">'BXP Final'!AG13</f>
        <v>n/d</v>
      </c>
    </row>
    <row r="54" customFormat="false" ht="15" hidden="false" customHeight="true" outlineLevel="0" collapsed="false">
      <c r="A54" s="22" t="str">
        <f aca="false">'BXP Final'!A14</f>
        <v>2019</v>
      </c>
      <c r="B54" s="9" t="n">
        <f aca="false">'BXP Final'!B14</f>
        <v>1739.85</v>
      </c>
      <c r="C54" s="9" t="n">
        <f aca="false">'BXP Final'!C14</f>
        <v>412.203510730949</v>
      </c>
      <c r="D54" s="9" t="n">
        <f aca="false">'BXP Final'!D14</f>
        <v>1327.64648926905</v>
      </c>
      <c r="E54" s="20" t="n">
        <f aca="false">'BXP Final'!E14</f>
        <v>137.86</v>
      </c>
      <c r="F54" s="19" t="n">
        <f aca="false">'BXP Final'!F14</f>
        <v>172.698</v>
      </c>
      <c r="G54" s="9" t="n">
        <f aca="false">'BXP Final'!G14</f>
        <v>23808.14628</v>
      </c>
      <c r="H54" s="9" t="n">
        <f aca="false">'BXP Final'!H14</f>
        <v>254.828</v>
      </c>
      <c r="I54" s="9" t="n">
        <f aca="false">'BXP Final'!I14</f>
        <v>789.736</v>
      </c>
      <c r="J54" s="9" t="n">
        <f aca="false">'BXP Final'!J14</f>
        <v>1044.564</v>
      </c>
      <c r="K54" s="9" t="n">
        <f aca="false">'BXP Final'!K14</f>
        <v>22763.58228</v>
      </c>
      <c r="L54" s="9" t="n">
        <f aca="false">'BXP Final'!L14</f>
        <v>8862.652</v>
      </c>
      <c r="M54" s="9" t="n">
        <f aca="false">'BXP Final'!M14</f>
        <v>2729.41</v>
      </c>
      <c r="N54" s="9" t="n">
        <f aca="false">'BXP Final'!N14</f>
        <v>200</v>
      </c>
      <c r="O54" s="9" t="n">
        <f aca="false">'BXP Final'!O14</f>
        <v>11792.062</v>
      </c>
      <c r="P54" s="9" t="n">
        <f aca="false">'BXP Final'!P14</f>
        <v>35600.20828</v>
      </c>
      <c r="Q54" s="9" t="n">
        <f aca="false">'BXP Final'!Q14</f>
        <v>34555.64428</v>
      </c>
      <c r="R54" s="9" t="n">
        <f aca="false">'BXP Final'!R14</f>
        <v>1209.601</v>
      </c>
      <c r="S54" s="9" t="str">
        <f aca="false">'BXP Final'!S14</f>
        <v>n/d</v>
      </c>
      <c r="T54" s="9" t="str">
        <f aca="false">'BXP Final'!T14</f>
        <v>n/d</v>
      </c>
      <c r="U54" s="9" t="n">
        <f aca="false">'BXP Final'!U14</f>
        <v>415.00467044</v>
      </c>
      <c r="V54" s="9" t="n">
        <f aca="false">'BXP Final'!V14</f>
        <v>794.59632956</v>
      </c>
      <c r="W54" s="9" t="n">
        <f aca="false">'BXP Final'!W14</f>
        <v>1181.165</v>
      </c>
      <c r="X54" s="9" t="n">
        <f aca="false">'BXP Final'!X14</f>
        <v>666.294</v>
      </c>
      <c r="Y54" s="14" t="n">
        <f aca="false">'BXP Final'!Y14</f>
        <v>0.0192</v>
      </c>
      <c r="Z54" s="14" t="n">
        <f aca="false">'BXP Final'!Z14</f>
        <v>0.0503492276370892</v>
      </c>
      <c r="AA54" s="14" t="n">
        <f aca="false">'BXP Final'!AA14</f>
        <v>0.0583232670912045</v>
      </c>
      <c r="AB54" s="15" t="n">
        <f aca="false">'BXP Final'!AB14</f>
        <v>19.8612778572866</v>
      </c>
      <c r="AC54" s="15" t="n">
        <f aca="false">'BXP Final'!AC14</f>
        <v>17.1458158960167</v>
      </c>
      <c r="AD54" s="14" t="n">
        <f aca="false">'BXP Final'!AD14</f>
        <v>0.2619</v>
      </c>
      <c r="AE54" s="14" t="n">
        <f aca="false">'BXP Final'!AE14</f>
        <v>0.93</v>
      </c>
      <c r="AF54" s="9" t="str">
        <f aca="false">'BXP Final'!AF14</f>
        <v>n/d</v>
      </c>
      <c r="AG54" s="9" t="str">
        <f aca="false">'BXP Final'!AG14</f>
        <v>n/d</v>
      </c>
    </row>
    <row r="55" customFormat="false" ht="15" hidden="false" customHeight="true" outlineLevel="0" collapsed="false">
      <c r="A55" s="22" t="str">
        <f aca="false">'BXP Final'!A15</f>
        <v>2018</v>
      </c>
      <c r="B55" s="9" t="n">
        <f aca="false">'BXP Final'!B15</f>
        <v>1551.842</v>
      </c>
      <c r="C55" s="9" t="n">
        <f aca="false">'BXP Final'!C15</f>
        <v>377.700837554046</v>
      </c>
      <c r="D55" s="9" t="n">
        <f aca="false">'BXP Final'!D15</f>
        <v>1174.14116244595</v>
      </c>
      <c r="E55" s="20" t="n">
        <f aca="false">'BXP Final'!E15</f>
        <v>112.55</v>
      </c>
      <c r="F55" s="19" t="n">
        <f aca="false">'BXP Final'!F15</f>
        <v>172.233</v>
      </c>
      <c r="G55" s="9" t="n">
        <f aca="false">'BXP Final'!G15</f>
        <v>19384.82415</v>
      </c>
      <c r="H55" s="9" t="n">
        <f aca="false">'BXP Final'!H15</f>
        <v>200.498</v>
      </c>
      <c r="I55" s="9" t="n">
        <f aca="false">'BXP Final'!I15</f>
        <v>578.796</v>
      </c>
      <c r="J55" s="9" t="n">
        <f aca="false">'BXP Final'!J15</f>
        <v>779.294</v>
      </c>
      <c r="K55" s="9" t="n">
        <f aca="false">'BXP Final'!K15</f>
        <v>18605.53015</v>
      </c>
      <c r="L55" s="9" t="n">
        <f aca="false">'BXP Final'!L15</f>
        <v>8012.429</v>
      </c>
      <c r="M55" s="9" t="n">
        <f aca="false">'BXP Final'!M15</f>
        <v>2681.128</v>
      </c>
      <c r="N55" s="9" t="n">
        <f aca="false">'BXP Final'!N15</f>
        <v>200</v>
      </c>
      <c r="O55" s="9" t="n">
        <f aca="false">'BXP Final'!O15</f>
        <v>10893.557</v>
      </c>
      <c r="P55" s="9" t="n">
        <f aca="false">'BXP Final'!P15</f>
        <v>30278.38115</v>
      </c>
      <c r="Q55" s="9" t="n">
        <f aca="false">'BXP Final'!Q15</f>
        <v>29499.08715</v>
      </c>
      <c r="R55" s="9" t="n">
        <f aca="false">'BXP Final'!R15</f>
        <v>1084.827</v>
      </c>
      <c r="S55" s="9" t="str">
        <f aca="false">'BXP Final'!S15</f>
        <v>n/d</v>
      </c>
      <c r="T55" s="9" t="str">
        <f aca="false">'BXP Final'!T15</f>
        <v>n/d</v>
      </c>
      <c r="U55" s="9" t="n">
        <f aca="false">'BXP Final'!U15</f>
        <v>290.63886851</v>
      </c>
      <c r="V55" s="9" t="n">
        <f aca="false">'BXP Final'!V15</f>
        <v>794.18813149</v>
      </c>
      <c r="W55" s="9" t="n">
        <f aca="false">'BXP Final'!W15</f>
        <v>1150.245</v>
      </c>
      <c r="X55" s="9" t="n">
        <f aca="false">'BXP Final'!X15</f>
        <v>587.628</v>
      </c>
      <c r="Y55" s="14" t="n">
        <f aca="false">'BXP Final'!Y15</f>
        <v>0.0269</v>
      </c>
      <c r="Z55" s="14" t="n">
        <f aca="false">'BXP Final'!Z15</f>
        <v>0.0526064414166118</v>
      </c>
      <c r="AA55" s="14" t="n">
        <f aca="false">'BXP Final'!AA15</f>
        <v>0.0631071059507517</v>
      </c>
      <c r="AB55" s="15" t="n">
        <f aca="false">'BXP Final'!AB15</f>
        <v>19.0090789848451</v>
      </c>
      <c r="AC55" s="15" t="n">
        <f aca="false">'BXP Final'!AC15</f>
        <v>15.8460760469731</v>
      </c>
      <c r="AD55" s="14" t="n">
        <f aca="false">'BXP Final'!AD15</f>
        <v>0.0947</v>
      </c>
      <c r="AE55" s="14" t="n">
        <f aca="false">'BXP Final'!AE15</f>
        <v>0.914</v>
      </c>
      <c r="AF55" s="9" t="str">
        <f aca="false">'BXP Final'!AF15</f>
        <v>n/d</v>
      </c>
      <c r="AG55" s="9" t="str">
        <f aca="false">'BXP Final'!AG15</f>
        <v>n/d</v>
      </c>
    </row>
    <row r="56" customFormat="false" ht="15" hidden="false" customHeight="true" outlineLevel="0" collapsed="false">
      <c r="A56" s="22" t="str">
        <f aca="false">'BXP Final'!A16</f>
        <v>2017</v>
      </c>
      <c r="B56" s="9" t="n">
        <f aca="false">'BXP Final'!B16</f>
        <v>1495.198</v>
      </c>
      <c r="C56" s="9" t="n">
        <f aca="false">'BXP Final'!C16</f>
        <v>353.188646580656</v>
      </c>
      <c r="D56" s="9" t="n">
        <f aca="false">'BXP Final'!D16</f>
        <v>1142.00935341934</v>
      </c>
      <c r="E56" s="20" t="n">
        <f aca="false">'BXP Final'!E16</f>
        <v>130.03</v>
      </c>
      <c r="F56" s="19" t="n">
        <f aca="false">'BXP Final'!F16</f>
        <v>171.954002922403</v>
      </c>
      <c r="G56" s="9" t="n">
        <f aca="false">'BXP Final'!G16</f>
        <v>22359.179</v>
      </c>
      <c r="H56" s="9" t="n">
        <f aca="false">'BXP Final'!H16</f>
        <v>204.925</v>
      </c>
      <c r="I56" s="9" t="n">
        <f aca="false">'BXP Final'!I16</f>
        <v>1269.338</v>
      </c>
      <c r="J56" s="9" t="n">
        <f aca="false">'BXP Final'!J16</f>
        <v>1474.263</v>
      </c>
      <c r="K56" s="9" t="n">
        <f aca="false">'BXP Final'!K16</f>
        <v>20884.916</v>
      </c>
      <c r="L56" s="9" t="n">
        <f aca="false">'BXP Final'!L16</f>
        <v>7292.33</v>
      </c>
      <c r="M56" s="9" t="n">
        <f aca="false">'BXP Final'!M16</f>
        <v>2378.875</v>
      </c>
      <c r="N56" s="9" t="n">
        <f aca="false">'BXP Final'!N16</f>
        <v>200</v>
      </c>
      <c r="O56" s="9" t="n">
        <f aca="false">'BXP Final'!O16</f>
        <v>9871.205</v>
      </c>
      <c r="P56" s="9" t="n">
        <f aca="false">'BXP Final'!P16</f>
        <v>32230.384</v>
      </c>
      <c r="Q56" s="9" t="n">
        <f aca="false">'BXP Final'!Q16</f>
        <v>30756.121</v>
      </c>
      <c r="R56" s="9" t="n">
        <f aca="false">'BXP Final'!R16</f>
        <v>1068.119</v>
      </c>
      <c r="S56" s="9" t="str">
        <f aca="false">'BXP Final'!S16</f>
        <v>n/d</v>
      </c>
      <c r="T56" s="9" t="str">
        <f aca="false">'BXP Final'!T16</f>
        <v>n/d</v>
      </c>
      <c r="U56" s="9" t="n">
        <f aca="false">'BXP Final'!U16</f>
        <v>281.5281972</v>
      </c>
      <c r="V56" s="9" t="n">
        <f aca="false">'BXP Final'!V16</f>
        <v>786.5908028</v>
      </c>
      <c r="W56" s="9" t="n">
        <f aca="false">'BXP Final'!W16</f>
        <v>907.445</v>
      </c>
      <c r="X56" s="9" t="n">
        <f aca="false">'BXP Final'!X16</f>
        <v>526.578</v>
      </c>
      <c r="Y56" s="14" t="n">
        <f aca="false">'BXP Final'!Y16</f>
        <v>0.024</v>
      </c>
      <c r="Z56" s="14" t="n">
        <f aca="false">'BXP Final'!Z16</f>
        <v>0.0486146481215886</v>
      </c>
      <c r="AA56" s="14" t="n">
        <f aca="false">'BXP Final'!AA16</f>
        <v>0.0546810604083514</v>
      </c>
      <c r="AB56" s="15" t="n">
        <f aca="false">'BXP Final'!AB16</f>
        <v>20.5699318752433</v>
      </c>
      <c r="AC56" s="15" t="n">
        <f aca="false">'BXP Final'!AC16</f>
        <v>18.2878677284626</v>
      </c>
      <c r="AD56" s="14" t="n">
        <f aca="false">'BXP Final'!AD16</f>
        <v>0.1132</v>
      </c>
      <c r="AE56" s="14" t="n">
        <f aca="false">'BXP Final'!AE16</f>
        <v>0.907</v>
      </c>
      <c r="AF56" s="9" t="str">
        <f aca="false">'BXP Final'!AF16</f>
        <v>n/d</v>
      </c>
      <c r="AG56" s="9" t="str">
        <f aca="false">'BXP Final'!AG16</f>
        <v>n/d</v>
      </c>
    </row>
    <row r="57" customFormat="false" ht="15" hidden="false" customHeight="true" outlineLevel="0" collapsed="false">
      <c r="A57" s="22" t="str">
        <f aca="false">'BXP Final'!A17</f>
        <v>2016</v>
      </c>
      <c r="B57" s="9" t="n">
        <f aca="false">'BXP Final'!B17</f>
        <v>1482.70071659118</v>
      </c>
      <c r="C57" s="9" t="n">
        <f aca="false">'BXP Final'!C17</f>
        <v>354.124207107543</v>
      </c>
      <c r="D57" s="9" t="n">
        <f aca="false">'BXP Final'!D17</f>
        <v>1128.57650948363</v>
      </c>
      <c r="E57" s="20" t="n">
        <f aca="false">'BXP Final'!E17</f>
        <v>125.78</v>
      </c>
      <c r="F57" s="19" t="n">
        <f aca="false">'BXP Final'!F17</f>
        <v>171.774002226109</v>
      </c>
      <c r="G57" s="9" t="n">
        <f aca="false">'BXP Final'!G17</f>
        <v>21605.734</v>
      </c>
      <c r="H57" s="9" t="n">
        <f aca="false">'BXP Final'!H17</f>
        <v>246.656</v>
      </c>
      <c r="I57" s="9" t="n">
        <f aca="false">'BXP Final'!I17</f>
        <v>1037.959</v>
      </c>
      <c r="J57" s="9" t="n">
        <f aca="false">'BXP Final'!J17</f>
        <v>1284.615</v>
      </c>
      <c r="K57" s="9" t="n">
        <f aca="false">'BXP Final'!K17</f>
        <v>20321.119</v>
      </c>
      <c r="L57" s="9" t="n">
        <f aca="false">'BXP Final'!L17</f>
        <v>7245.953</v>
      </c>
      <c r="M57" s="9" t="n">
        <f aca="false">'BXP Final'!M17</f>
        <v>1723.9</v>
      </c>
      <c r="N57" s="9" t="n">
        <f aca="false">'BXP Final'!N17</f>
        <v>200</v>
      </c>
      <c r="O57" s="9" t="n">
        <f aca="false">'BXP Final'!O17</f>
        <v>9169.853</v>
      </c>
      <c r="P57" s="9" t="n">
        <f aca="false">'BXP Final'!P17</f>
        <v>30775.587</v>
      </c>
      <c r="Q57" s="9" t="n">
        <f aca="false">'BXP Final'!Q17</f>
        <v>29490.972</v>
      </c>
      <c r="R57" s="9" t="n">
        <f aca="false">'BXP Final'!R17</f>
        <v>1034.251</v>
      </c>
      <c r="S57" s="9" t="str">
        <f aca="false">'BXP Final'!S17</f>
        <v>n/d</v>
      </c>
      <c r="T57" s="9" t="str">
        <f aca="false">'BXP Final'!T17</f>
        <v>n/d</v>
      </c>
      <c r="U57" s="9" t="n">
        <f aca="false">'BXP Final'!U17</f>
        <v>308.40028164</v>
      </c>
      <c r="V57" s="9" t="n">
        <f aca="false">'BXP Final'!V17</f>
        <v>725.85071836</v>
      </c>
      <c r="W57" s="9" t="n">
        <f aca="false">'BXP Final'!W17</f>
        <v>1036.874</v>
      </c>
      <c r="X57" s="9" t="n">
        <f aca="false">'BXP Final'!X17</f>
        <v>671.626</v>
      </c>
      <c r="Y57" s="14" t="n">
        <f aca="false">'BXP Final'!Y17</f>
        <v>0.0245</v>
      </c>
      <c r="Z57" s="14" t="n">
        <f aca="false">'BXP Final'!Z17</f>
        <v>0.0502764275314892</v>
      </c>
      <c r="AA57" s="14" t="n">
        <f aca="false">'BXP Final'!AA17</f>
        <v>0.0555371241851216</v>
      </c>
      <c r="AB57" s="15" t="n">
        <f aca="false">'BXP Final'!AB17</f>
        <v>19.8900369238383</v>
      </c>
      <c r="AC57" s="15" t="n">
        <f aca="false">'BXP Final'!AC17</f>
        <v>18.0059737458984</v>
      </c>
      <c r="AD57" s="14" t="n">
        <f aca="false">'BXP Final'!AD17</f>
        <v>0.2455</v>
      </c>
      <c r="AE57" s="14" t="n">
        <f aca="false">'BXP Final'!AE17</f>
        <v>0.902</v>
      </c>
      <c r="AF57" s="9" t="str">
        <f aca="false">'BXP Final'!AF17</f>
        <v>n/d</v>
      </c>
      <c r="AG57" s="9" t="str">
        <f aca="false">'BXP Final'!AG17</f>
        <v>n/d</v>
      </c>
    </row>
    <row r="59" customFormat="false" ht="15" hidden="false" customHeight="true" outlineLevel="0" collapsed="false">
      <c r="A59" s="6" t="s">
        <v>662</v>
      </c>
    </row>
    <row r="60" customFormat="false" ht="15" hidden="false" customHeight="true" outlineLevel="0" collapsed="false">
      <c r="A60" s="22" t="str">
        <f aca="false">'CUZ Final'!A8</f>
        <v>2025</v>
      </c>
      <c r="B60" s="9" t="n">
        <f aca="false">'CUZ Final'!B8</f>
        <v>673.311</v>
      </c>
      <c r="C60" s="9" t="n">
        <f aca="false">'CUZ Final'!C8</f>
        <v>168.949</v>
      </c>
      <c r="D60" s="9" t="n">
        <f aca="false">'CUZ Final'!D8</f>
        <v>504.362</v>
      </c>
      <c r="E60" s="20" t="n">
        <f aca="false">'CUZ Final'!E8</f>
        <v>25.78</v>
      </c>
      <c r="F60" s="19" t="n">
        <f aca="false">'CUZ Final'!F8</f>
        <v>168.007</v>
      </c>
      <c r="G60" s="9" t="n">
        <f aca="false">'CUZ Final'!G8</f>
        <v>4331.22046</v>
      </c>
      <c r="H60" s="9" t="n">
        <f aca="false">'CUZ Final'!H8</f>
        <v>156.003</v>
      </c>
      <c r="I60" s="9" t="n">
        <f aca="false">'CUZ Final'!I8</f>
        <v>291.309</v>
      </c>
      <c r="J60" s="9" t="n">
        <f aca="false">'CUZ Final'!J8</f>
        <v>447.312</v>
      </c>
      <c r="K60" s="9" t="n">
        <f aca="false">'CUZ Final'!K8</f>
        <v>3883.90846</v>
      </c>
      <c r="L60" s="9" t="n">
        <f aca="false">'CUZ Final'!L8</f>
        <v>2900.015</v>
      </c>
      <c r="M60" s="9" t="n">
        <f aca="false">'CUZ Final'!M8</f>
        <v>607.005</v>
      </c>
      <c r="N60" s="9" t="n">
        <f aca="false">'CUZ Final'!N8</f>
        <v>0</v>
      </c>
      <c r="O60" s="9" t="n">
        <f aca="false">'CUZ Final'!O8</f>
        <v>3507.02</v>
      </c>
      <c r="P60" s="9" t="n">
        <f aca="false">'CUZ Final'!P8</f>
        <v>7838.24046</v>
      </c>
      <c r="Q60" s="9" t="n">
        <f aca="false">'CUZ Final'!Q8</f>
        <v>7390.92846</v>
      </c>
      <c r="R60" s="9" t="n">
        <f aca="false">'CUZ Final'!R8</f>
        <v>478.401</v>
      </c>
      <c r="S60" s="9" t="str">
        <f aca="false">'CUZ Final'!S8</f>
        <v>n/d</v>
      </c>
      <c r="T60" s="9" t="str">
        <f aca="false">'CUZ Final'!T8</f>
        <v>n/d</v>
      </c>
      <c r="U60" s="9" t="n">
        <f aca="false">'CUZ Final'!U8</f>
        <v>101.69</v>
      </c>
      <c r="V60" s="9" t="n">
        <f aca="false">'CUZ Final'!V8</f>
        <v>376.711</v>
      </c>
      <c r="W60" s="9" t="n">
        <f aca="false">'CUZ Final'!W8</f>
        <v>402.275</v>
      </c>
      <c r="X60" s="9" t="n">
        <f aca="false">'CUZ Final'!X8</f>
        <v>215.802</v>
      </c>
      <c r="Y60" s="14" t="n">
        <f aca="false">'CUZ Final'!Y8</f>
        <v>0.0418</v>
      </c>
      <c r="Z60" s="14" t="n">
        <f aca="false">'CUZ Final'!Z8</f>
        <v>0.0910996505572995</v>
      </c>
      <c r="AA60" s="14" t="n">
        <f aca="false">'CUZ Final'!AA8</f>
        <v>0.12985939426595</v>
      </c>
      <c r="AB60" s="15" t="n">
        <f aca="false">'CUZ Final'!AB8</f>
        <v>10.9769905140418</v>
      </c>
      <c r="AC60" s="15" t="n">
        <f aca="false">'CUZ Final'!AC8</f>
        <v>7.70063656659304</v>
      </c>
      <c r="AD60" s="14" t="n">
        <f aca="false">'CUZ Final'!AD8</f>
        <v>0.215</v>
      </c>
      <c r="AE60" s="14" t="n">
        <f aca="false">'CUZ Final'!AE8</f>
        <v>0.907</v>
      </c>
      <c r="AF60" s="9" t="str">
        <f aca="false">'CUZ Final'!AF8</f>
        <v>n/d</v>
      </c>
      <c r="AG60" s="9" t="str">
        <f aca="false">'CUZ Final'!AG8</f>
        <v>n/d</v>
      </c>
    </row>
    <row r="61" customFormat="false" ht="15" hidden="false" customHeight="true" outlineLevel="0" collapsed="false">
      <c r="A61" s="22" t="str">
        <f aca="false">'CUZ Final'!A9</f>
        <v>2024</v>
      </c>
      <c r="B61" s="9" t="n">
        <f aca="false">'CUZ Final'!B9</f>
        <v>570.324</v>
      </c>
      <c r="C61" s="9" t="n">
        <f aca="false">'CUZ Final'!C9</f>
        <v>126.96</v>
      </c>
      <c r="D61" s="9" t="n">
        <f aca="false">'CUZ Final'!D9</f>
        <v>443.364</v>
      </c>
      <c r="E61" s="20" t="n">
        <f aca="false">'CUZ Final'!E9</f>
        <v>30.64</v>
      </c>
      <c r="F61" s="19" t="n">
        <f aca="false">'CUZ Final'!F9</f>
        <v>167.685</v>
      </c>
      <c r="G61" s="9" t="n">
        <f aca="false">'CUZ Final'!G9</f>
        <v>5137.8684</v>
      </c>
      <c r="H61" s="9" t="n">
        <f aca="false">'CUZ Final'!H9</f>
        <v>156.006</v>
      </c>
      <c r="I61" s="9" t="n">
        <f aca="false">'CUZ Final'!I9</f>
        <v>402.571</v>
      </c>
      <c r="J61" s="9" t="n">
        <f aca="false">'CUZ Final'!J9</f>
        <v>558.577</v>
      </c>
      <c r="K61" s="9" t="n">
        <f aca="false">'CUZ Final'!K9</f>
        <v>4579.2914</v>
      </c>
      <c r="L61" s="9" t="n">
        <f aca="false">'CUZ Final'!L9</f>
        <v>2648.325</v>
      </c>
      <c r="M61" s="9" t="n">
        <f aca="false">'CUZ Final'!M9</f>
        <v>626.063</v>
      </c>
      <c r="N61" s="9" t="n">
        <f aca="false">'CUZ Final'!N9</f>
        <v>0</v>
      </c>
      <c r="O61" s="9" t="n">
        <f aca="false">'CUZ Final'!O9</f>
        <v>3274.388</v>
      </c>
      <c r="P61" s="9" t="n">
        <f aca="false">'CUZ Final'!P9</f>
        <v>8412.2564</v>
      </c>
      <c r="Q61" s="9" t="n">
        <f aca="false">'CUZ Final'!Q9</f>
        <v>7853.6794</v>
      </c>
      <c r="R61" s="9" t="n">
        <f aca="false">'CUZ Final'!R9</f>
        <v>414.092</v>
      </c>
      <c r="S61" s="9" t="str">
        <f aca="false">'CUZ Final'!S9</f>
        <v>n/d</v>
      </c>
      <c r="T61" s="9" t="str">
        <f aca="false">'CUZ Final'!T9</f>
        <v>n/d</v>
      </c>
      <c r="U61" s="9" t="n">
        <f aca="false">'CUZ Final'!U9</f>
        <v>86.829</v>
      </c>
      <c r="V61" s="9" t="n">
        <f aca="false">'CUZ Final'!V9</f>
        <v>327.263</v>
      </c>
      <c r="W61" s="9" t="n">
        <f aca="false">'CUZ Final'!W9</f>
        <v>400.233</v>
      </c>
      <c r="X61" s="9" t="n">
        <f aca="false">'CUZ Final'!X9</f>
        <v>195.413</v>
      </c>
      <c r="Y61" s="14" t="n">
        <f aca="false">'CUZ Final'!Y9</f>
        <v>0.0458</v>
      </c>
      <c r="Z61" s="14" t="n">
        <f aca="false">'CUZ Final'!Z9</f>
        <v>0.0726187014967787</v>
      </c>
      <c r="AA61" s="14" t="n">
        <f aca="false">'CUZ Final'!AA9</f>
        <v>0.0968193463294343</v>
      </c>
      <c r="AB61" s="15" t="n">
        <f aca="false">'CUZ Final'!AB9</f>
        <v>13.7705574375267</v>
      </c>
      <c r="AC61" s="15" t="n">
        <f aca="false">'CUZ Final'!AC9</f>
        <v>10.328514268186</v>
      </c>
      <c r="AD61" s="14" t="n">
        <f aca="false">'CUZ Final'!AD9</f>
        <v>0.282</v>
      </c>
      <c r="AE61" s="14" t="n">
        <f aca="false">'CUZ Final'!AE9</f>
        <v>0.916</v>
      </c>
      <c r="AF61" s="9" t="str">
        <f aca="false">'CUZ Final'!AF9</f>
        <v>n/d</v>
      </c>
      <c r="AG61" s="9" t="str">
        <f aca="false">'CUZ Final'!AG9</f>
        <v>n/d</v>
      </c>
    </row>
    <row r="62" customFormat="false" ht="15" hidden="false" customHeight="true" outlineLevel="0" collapsed="false">
      <c r="A62" s="22" t="str">
        <f aca="false">'CUZ Final'!A10</f>
        <v>2023</v>
      </c>
      <c r="B62" s="9" t="n">
        <f aca="false">'CUZ Final'!B10</f>
        <v>531.094</v>
      </c>
      <c r="C62" s="9" t="n">
        <f aca="false">'CUZ Final'!C10</f>
        <v>107.139</v>
      </c>
      <c r="D62" s="9" t="n">
        <f aca="false">'CUZ Final'!D10</f>
        <v>423.955</v>
      </c>
      <c r="E62" s="20" t="n">
        <f aca="false">'CUZ Final'!E10</f>
        <v>24.35</v>
      </c>
      <c r="F62" s="19" t="n">
        <f aca="false">'CUZ Final'!F10</f>
        <v>151.824</v>
      </c>
      <c r="G62" s="9" t="n">
        <f aca="false">'CUZ Final'!G10</f>
        <v>3696.9144</v>
      </c>
      <c r="H62" s="9" t="n">
        <f aca="false">'CUZ Final'!H10</f>
        <v>156.008</v>
      </c>
      <c r="I62" s="9" t="n">
        <f aca="false">'CUZ Final'!I10</f>
        <v>358.79</v>
      </c>
      <c r="J62" s="9" t="n">
        <f aca="false">'CUZ Final'!J10</f>
        <v>514.798</v>
      </c>
      <c r="K62" s="9" t="n">
        <f aca="false">'CUZ Final'!K10</f>
        <v>3182.1164</v>
      </c>
      <c r="L62" s="9" t="n">
        <f aca="false">'CUZ Final'!L10</f>
        <v>1931.67</v>
      </c>
      <c r="M62" s="9" t="n">
        <f aca="false">'CUZ Final'!M10</f>
        <v>677.005</v>
      </c>
      <c r="N62" s="9" t="n">
        <f aca="false">'CUZ Final'!N10</f>
        <v>0</v>
      </c>
      <c r="O62" s="9" t="n">
        <f aca="false">'CUZ Final'!O10</f>
        <v>2608.675</v>
      </c>
      <c r="P62" s="9" t="n">
        <f aca="false">'CUZ Final'!P10</f>
        <v>6305.5894</v>
      </c>
      <c r="Q62" s="9" t="n">
        <f aca="false">'CUZ Final'!Q10</f>
        <v>5790.7914</v>
      </c>
      <c r="R62" s="9" t="n">
        <f aca="false">'CUZ Final'!R10</f>
        <v>398.289</v>
      </c>
      <c r="S62" s="9" t="str">
        <f aca="false">'CUZ Final'!S10</f>
        <v>n/d</v>
      </c>
      <c r="T62" s="9" t="str">
        <f aca="false">'CUZ Final'!T10</f>
        <v>n/d</v>
      </c>
      <c r="U62" s="9" t="n">
        <f aca="false">'CUZ Final'!U10</f>
        <v>70.83</v>
      </c>
      <c r="V62" s="9" t="n">
        <f aca="false">'CUZ Final'!V10</f>
        <v>327.459</v>
      </c>
      <c r="W62" s="9" t="n">
        <f aca="false">'CUZ Final'!W10</f>
        <v>368.362</v>
      </c>
      <c r="X62" s="9" t="n">
        <f aca="false">'CUZ Final'!X10</f>
        <v>194.348</v>
      </c>
      <c r="Y62" s="14" t="n">
        <f aca="false">'CUZ Final'!Y10</f>
        <v>0.0388</v>
      </c>
      <c r="Z62" s="14" t="n">
        <f aca="false">'CUZ Final'!Z10</f>
        <v>0.0917135436790211</v>
      </c>
      <c r="AA62" s="14" t="n">
        <f aca="false">'CUZ Final'!AA10</f>
        <v>0.133230512875016</v>
      </c>
      <c r="AB62" s="15" t="n">
        <f aca="false">'CUZ Final'!AB10</f>
        <v>10.9035150086425</v>
      </c>
      <c r="AC62" s="15" t="n">
        <f aca="false">'CUZ Final'!AC10</f>
        <v>7.50578811430459</v>
      </c>
      <c r="AD62" s="14" t="n">
        <f aca="false">'CUZ Final'!AD10</f>
        <v>0.202</v>
      </c>
      <c r="AE62" s="14" t="n">
        <f aca="false">'CUZ Final'!AE10</f>
        <v>0.909</v>
      </c>
      <c r="AF62" s="9" t="str">
        <f aca="false">'CUZ Final'!AF10</f>
        <v>n/d</v>
      </c>
      <c r="AG62" s="9" t="str">
        <f aca="false">'CUZ Final'!AG10</f>
        <v>n/d</v>
      </c>
    </row>
    <row r="63" customFormat="false" ht="15" hidden="false" customHeight="true" outlineLevel="0" collapsed="false">
      <c r="A63" s="22" t="str">
        <f aca="false">'CUZ Final'!A11</f>
        <v>2022</v>
      </c>
      <c r="B63" s="9" t="n">
        <f aca="false">'CUZ Final'!B11</f>
        <v>502.2</v>
      </c>
      <c r="C63" s="9" t="n">
        <f aca="false">'CUZ Final'!C11</f>
        <v>75.14</v>
      </c>
      <c r="D63" s="9" t="n">
        <f aca="false">'CUZ Final'!D11</f>
        <v>427.06</v>
      </c>
      <c r="E63" s="20" t="n">
        <f aca="false">'CUZ Final'!E11</f>
        <v>25.29</v>
      </c>
      <c r="F63" s="19" t="n">
        <f aca="false">'CUZ Final'!F11</f>
        <v>151.482</v>
      </c>
      <c r="G63" s="9" t="n">
        <f aca="false">'CUZ Final'!G11</f>
        <v>3830.97978</v>
      </c>
      <c r="H63" s="9" t="n">
        <f aca="false">'CUZ Final'!H11</f>
        <v>159.71</v>
      </c>
      <c r="I63" s="9" t="n">
        <f aca="false">'CUZ Final'!I11</f>
        <v>256.782</v>
      </c>
      <c r="J63" s="9" t="n">
        <f aca="false">'CUZ Final'!J11</f>
        <v>416.492</v>
      </c>
      <c r="K63" s="9" t="n">
        <f aca="false">'CUZ Final'!K11</f>
        <v>3414.48778</v>
      </c>
      <c r="L63" s="9" t="n">
        <f aca="false">'CUZ Final'!L11</f>
        <v>1800.865</v>
      </c>
      <c r="M63" s="9" t="n">
        <f aca="false">'CUZ Final'!M11</f>
        <v>623.139</v>
      </c>
      <c r="N63" s="9" t="n">
        <f aca="false">'CUZ Final'!N11</f>
        <v>0</v>
      </c>
      <c r="O63" s="9" t="n">
        <f aca="false">'CUZ Final'!O11</f>
        <v>2424.004</v>
      </c>
      <c r="P63" s="9" t="n">
        <f aca="false">'CUZ Final'!P11</f>
        <v>6254.98378</v>
      </c>
      <c r="Q63" s="9" t="n">
        <f aca="false">'CUZ Final'!Q11</f>
        <v>5838.49178</v>
      </c>
      <c r="R63" s="9" t="n">
        <f aca="false">'CUZ Final'!R11</f>
        <v>408.759</v>
      </c>
      <c r="S63" s="9" t="str">
        <f aca="false">'CUZ Final'!S11</f>
        <v>n/d</v>
      </c>
      <c r="T63" s="9" t="str">
        <f aca="false">'CUZ Final'!T11</f>
        <v>n/d</v>
      </c>
      <c r="U63" s="9" t="n">
        <f aca="false">'CUZ Final'!U11</f>
        <v>68.329</v>
      </c>
      <c r="V63" s="9" t="n">
        <f aca="false">'CUZ Final'!V11</f>
        <v>340.43</v>
      </c>
      <c r="W63" s="9" t="n">
        <f aca="false">'CUZ Final'!W11</f>
        <v>365.166</v>
      </c>
      <c r="X63" s="9" t="n">
        <f aca="false">'CUZ Final'!X11</f>
        <v>192.275</v>
      </c>
      <c r="Y63" s="14" t="n">
        <f aca="false">'CUZ Final'!Y11</f>
        <v>0.0388</v>
      </c>
      <c r="Z63" s="14" t="n">
        <f aca="false">'CUZ Final'!Z11</f>
        <v>0.0860153647420225</v>
      </c>
      <c r="AA63" s="14" t="n">
        <f aca="false">'CUZ Final'!AA11</f>
        <v>0.125072932608357</v>
      </c>
      <c r="AB63" s="15" t="n">
        <f aca="false">'CUZ Final'!AB11</f>
        <v>11.625829908403</v>
      </c>
      <c r="AC63" s="15" t="n">
        <f aca="false">'CUZ Final'!AC11</f>
        <v>7.99533503488971</v>
      </c>
      <c r="AD63" s="14" t="n">
        <f aca="false">'CUZ Final'!AD11</f>
        <v>0.232</v>
      </c>
      <c r="AE63" s="14" t="n">
        <f aca="false">'CUZ Final'!AE11</f>
        <v>0.91</v>
      </c>
      <c r="AF63" s="9" t="str">
        <f aca="false">'CUZ Final'!AF11</f>
        <v>n/d</v>
      </c>
      <c r="AG63" s="9" t="str">
        <f aca="false">'CUZ Final'!AG11</f>
        <v>n/d</v>
      </c>
    </row>
    <row r="64" customFormat="false" ht="15" hidden="false" customHeight="true" outlineLevel="0" collapsed="false">
      <c r="A64" s="22" t="str">
        <f aca="false">'CUZ Final'!A12</f>
        <v>2021</v>
      </c>
      <c r="B64" s="9" t="n">
        <f aca="false">'CUZ Final'!B12</f>
        <v>493.72</v>
      </c>
      <c r="C64" s="9" t="n">
        <f aca="false">'CUZ Final'!C12</f>
        <v>69.937</v>
      </c>
      <c r="D64" s="9" t="n">
        <f aca="false">'CUZ Final'!D12</f>
        <v>423.783</v>
      </c>
      <c r="E64" s="20" t="n">
        <f aca="false">'CUZ Final'!E12</f>
        <v>40.28</v>
      </c>
      <c r="F64" s="19" t="n">
        <f aca="false">'CUZ Final'!F12</f>
        <v>148.713</v>
      </c>
      <c r="G64" s="9" t="n">
        <f aca="false">'CUZ Final'!G12</f>
        <v>5990.15964</v>
      </c>
      <c r="H64" s="9" t="n">
        <f aca="false">'CUZ Final'!H12</f>
        <v>166.267</v>
      </c>
      <c r="I64" s="9" t="n">
        <f aca="false">'CUZ Final'!I12</f>
        <v>385.481</v>
      </c>
      <c r="J64" s="9" t="n">
        <f aca="false">'CUZ Final'!J12</f>
        <v>551.748</v>
      </c>
      <c r="K64" s="9" t="n">
        <f aca="false">'CUZ Final'!K12</f>
        <v>5438.41164</v>
      </c>
      <c r="L64" s="9" t="n">
        <f aca="false">'CUZ Final'!L12</f>
        <v>1573.768</v>
      </c>
      <c r="M64" s="9" t="n">
        <f aca="false">'CUZ Final'!M12</f>
        <v>776.546</v>
      </c>
      <c r="N64" s="9" t="n">
        <f aca="false">'CUZ Final'!N12</f>
        <v>0</v>
      </c>
      <c r="O64" s="9" t="n">
        <f aca="false">'CUZ Final'!O12</f>
        <v>2350.314</v>
      </c>
      <c r="P64" s="9" t="n">
        <f aca="false">'CUZ Final'!P12</f>
        <v>8340.47364</v>
      </c>
      <c r="Q64" s="9" t="n">
        <f aca="false">'CUZ Final'!Q12</f>
        <v>7788.72564</v>
      </c>
      <c r="R64" s="9" t="n">
        <f aca="false">'CUZ Final'!R12</f>
        <v>409.201</v>
      </c>
      <c r="S64" s="9" t="str">
        <f aca="false">'CUZ Final'!S12</f>
        <v>n/d</v>
      </c>
      <c r="T64" s="9" t="str">
        <f aca="false">'CUZ Final'!T12</f>
        <v>n/d</v>
      </c>
      <c r="U64" s="9" t="n">
        <f aca="false">'CUZ Final'!U12</f>
        <v>61.722</v>
      </c>
      <c r="V64" s="9" t="n">
        <f aca="false">'CUZ Final'!V12</f>
        <v>347.479</v>
      </c>
      <c r="W64" s="9" t="n">
        <f aca="false">'CUZ Final'!W12</f>
        <v>389.478</v>
      </c>
      <c r="X64" s="9" t="n">
        <f aca="false">'CUZ Final'!X12</f>
        <v>182.84</v>
      </c>
      <c r="Y64" s="14" t="n">
        <f aca="false">'CUZ Final'!Y12</f>
        <v>0.0152</v>
      </c>
      <c r="Z64" s="14" t="n">
        <f aca="false">'CUZ Final'!Z12</f>
        <v>0.0633890603957646</v>
      </c>
      <c r="AA64" s="14" t="n">
        <f aca="false">'CUZ Final'!AA12</f>
        <v>0.0779240388651419</v>
      </c>
      <c r="AB64" s="15" t="n">
        <f aca="false">'CUZ Final'!AB12</f>
        <v>15.7755927246212</v>
      </c>
      <c r="AC64" s="15" t="n">
        <f aca="false">'CUZ Final'!AC12</f>
        <v>12.833010385032</v>
      </c>
      <c r="AD64" s="14" t="n">
        <f aca="false">'CUZ Final'!AD12</f>
        <v>0.247</v>
      </c>
      <c r="AE64" s="14" t="n">
        <f aca="false">'CUZ Final'!AE12</f>
        <v>0.915</v>
      </c>
      <c r="AF64" s="9" t="str">
        <f aca="false">'CUZ Final'!AF12</f>
        <v>n/d</v>
      </c>
      <c r="AG64" s="9" t="str">
        <f aca="false">'CUZ Final'!AG12</f>
        <v>n/d</v>
      </c>
    </row>
    <row r="65" customFormat="false" ht="15" hidden="false" customHeight="true" outlineLevel="0" collapsed="false">
      <c r="A65" s="22" t="str">
        <f aca="false">'CUZ Final'!A13</f>
        <v>2020</v>
      </c>
      <c r="B65" s="9" t="n">
        <f aca="false">'CUZ Final'!B13</f>
        <v>486.034</v>
      </c>
      <c r="C65" s="9" t="n">
        <f aca="false">'CUZ Final'!C13</f>
        <v>62.676</v>
      </c>
      <c r="D65" s="9" t="n">
        <f aca="false">'CUZ Final'!D13</f>
        <v>423.358</v>
      </c>
      <c r="E65" s="20" t="n">
        <f aca="false">'CUZ Final'!E13</f>
        <v>33.5</v>
      </c>
      <c r="F65" s="19" t="n">
        <f aca="false">'CUZ Final'!F13</f>
        <v>148.589</v>
      </c>
      <c r="G65" s="9" t="n">
        <f aca="false">'CUZ Final'!G13</f>
        <v>4977.7315</v>
      </c>
      <c r="H65" s="9" t="n">
        <f aca="false">'CUZ Final'!H13</f>
        <v>167.383</v>
      </c>
      <c r="I65" s="9" t="n">
        <f aca="false">'CUZ Final'!I13</f>
        <v>323.457</v>
      </c>
      <c r="J65" s="9" t="n">
        <f aca="false">'CUZ Final'!J13</f>
        <v>490.84</v>
      </c>
      <c r="K65" s="9" t="n">
        <f aca="false">'CUZ Final'!K13</f>
        <v>4486.8915</v>
      </c>
      <c r="L65" s="9" t="n">
        <f aca="false">'CUZ Final'!L13</f>
        <v>1478.595</v>
      </c>
      <c r="M65" s="9" t="n">
        <f aca="false">'CUZ Final'!M13</f>
        <v>799.163</v>
      </c>
      <c r="N65" s="9" t="n">
        <f aca="false">'CUZ Final'!N13</f>
        <v>0</v>
      </c>
      <c r="O65" s="9" t="n">
        <f aca="false">'CUZ Final'!O13</f>
        <v>2277.758</v>
      </c>
      <c r="P65" s="9" t="n">
        <f aca="false">'CUZ Final'!P13</f>
        <v>7255.4895</v>
      </c>
      <c r="Q65" s="9" t="n">
        <f aca="false">'CUZ Final'!Q13</f>
        <v>6764.6495</v>
      </c>
      <c r="R65" s="9" t="n">
        <f aca="false">'CUZ Final'!R13</f>
        <v>413.247</v>
      </c>
      <c r="S65" s="9" t="str">
        <f aca="false">'CUZ Final'!S13</f>
        <v>n/d</v>
      </c>
      <c r="T65" s="9" t="str">
        <f aca="false">'CUZ Final'!T13</f>
        <v>n/d</v>
      </c>
      <c r="U65" s="9" t="n">
        <f aca="false">'CUZ Final'!U13</f>
        <v>78.176</v>
      </c>
      <c r="V65" s="9" t="n">
        <f aca="false">'CUZ Final'!V13</f>
        <v>335.071</v>
      </c>
      <c r="W65" s="9" t="n">
        <f aca="false">'CUZ Final'!W13</f>
        <v>351.088</v>
      </c>
      <c r="X65" s="9" t="n">
        <f aca="false">'CUZ Final'!X13</f>
        <v>176.263</v>
      </c>
      <c r="Y65" s="14" t="n">
        <f aca="false">'CUZ Final'!Y13</f>
        <v>0.0093</v>
      </c>
      <c r="Z65" s="14" t="n">
        <f aca="false">'CUZ Final'!Z13</f>
        <v>0.0718491031944818</v>
      </c>
      <c r="AA65" s="14" t="n">
        <f aca="false">'CUZ Final'!AA13</f>
        <v>0.094354409951745</v>
      </c>
      <c r="AB65" s="15" t="n">
        <f aca="false">'CUZ Final'!AB13</f>
        <v>13.9180582016896</v>
      </c>
      <c r="AC65" s="15" t="n">
        <f aca="false">'CUZ Final'!AC13</f>
        <v>10.5983387582141</v>
      </c>
      <c r="AD65" s="14" t="n">
        <f aca="false">'CUZ Final'!AD13</f>
        <v>0.272</v>
      </c>
      <c r="AE65" s="14" t="n">
        <f aca="false">'CUZ Final'!AE13</f>
        <v>0.907</v>
      </c>
      <c r="AF65" s="9" t="str">
        <f aca="false">'CUZ Final'!AF13</f>
        <v>n/d</v>
      </c>
      <c r="AG65" s="9" t="str">
        <f aca="false">'CUZ Final'!AG13</f>
        <v>n/d</v>
      </c>
    </row>
    <row r="66" customFormat="false" ht="15" hidden="false" customHeight="true" outlineLevel="0" collapsed="false">
      <c r="A66" s="22" t="str">
        <f aca="false">'CUZ Final'!A14</f>
        <v>2019</v>
      </c>
      <c r="B66" s="9" t="n">
        <f aca="false">'CUZ Final'!B14</f>
        <v>431.79</v>
      </c>
      <c r="C66" s="9" t="n">
        <f aca="false">'CUZ Final'!C14</f>
        <v>59.701</v>
      </c>
      <c r="D66" s="9" t="n">
        <f aca="false">'CUZ Final'!D14</f>
        <v>372.089</v>
      </c>
      <c r="E66" s="20" t="n">
        <f aca="false">'CUZ Final'!E14</f>
        <v>41.2</v>
      </c>
      <c r="F66" s="19" t="n">
        <f aca="false">'CUZ Final'!F14</f>
        <v>148.506</v>
      </c>
      <c r="G66" s="9" t="n">
        <f aca="false">'CUZ Final'!G14</f>
        <v>6118.4472</v>
      </c>
      <c r="H66" s="9" t="n">
        <f aca="false">'CUZ Final'!H14</f>
        <v>110.15</v>
      </c>
      <c r="I66" s="9" t="n">
        <f aca="false">'CUZ Final'!I14</f>
        <v>333.037</v>
      </c>
      <c r="J66" s="9" t="n">
        <f aca="false">'CUZ Final'!J14</f>
        <v>443.187</v>
      </c>
      <c r="K66" s="9" t="n">
        <f aca="false">'CUZ Final'!K14</f>
        <v>5675.2602</v>
      </c>
      <c r="L66" s="9" t="n">
        <f aca="false">'CUZ Final'!L14</f>
        <v>1496.806</v>
      </c>
      <c r="M66" s="9" t="n">
        <f aca="false">'CUZ Final'!M14</f>
        <v>808.688</v>
      </c>
      <c r="N66" s="9" t="n">
        <f aca="false">'CUZ Final'!N14</f>
        <v>0</v>
      </c>
      <c r="O66" s="9" t="n">
        <f aca="false">'CUZ Final'!O14</f>
        <v>2305.494</v>
      </c>
      <c r="P66" s="9" t="n">
        <f aca="false">'CUZ Final'!P14</f>
        <v>8423.9412</v>
      </c>
      <c r="Q66" s="9" t="n">
        <f aca="false">'CUZ Final'!Q14</f>
        <v>7980.7542</v>
      </c>
      <c r="R66" s="9" t="n">
        <f aca="false">'CUZ Final'!R14</f>
        <v>328.793</v>
      </c>
      <c r="S66" s="9" t="str">
        <f aca="false">'CUZ Final'!S14</f>
        <v>n/d</v>
      </c>
      <c r="T66" s="9" t="str">
        <f aca="false">'CUZ Final'!T14</f>
        <v>n/d</v>
      </c>
      <c r="U66" s="9" t="n">
        <f aca="false">'CUZ Final'!U14</f>
        <v>80.5</v>
      </c>
      <c r="V66" s="9" t="n">
        <f aca="false">'CUZ Final'!V14</f>
        <v>248.293</v>
      </c>
      <c r="W66" s="9" t="n">
        <f aca="false">'CUZ Final'!W14</f>
        <v>303.177</v>
      </c>
      <c r="X66" s="9" t="n">
        <f aca="false">'CUZ Final'!X14</f>
        <v>142.941</v>
      </c>
      <c r="Y66" s="14" t="n">
        <f aca="false">'CUZ Final'!Y14</f>
        <v>0.0192</v>
      </c>
      <c r="Z66" s="14" t="n">
        <f aca="false">'CUZ Final'!Z14</f>
        <v>0.054103909126784</v>
      </c>
      <c r="AA66" s="14" t="n">
        <f aca="false">'CUZ Final'!AA14</f>
        <v>0.0655633375188683</v>
      </c>
      <c r="AB66" s="15" t="n">
        <f aca="false">'CUZ Final'!AB14</f>
        <v>18.4829528242896</v>
      </c>
      <c r="AC66" s="15" t="n">
        <f aca="false">'CUZ Final'!AC14</f>
        <v>15.2524267043637</v>
      </c>
      <c r="AD66" s="14" t="n">
        <f aca="false">'CUZ Final'!AD14</f>
        <v>0.213</v>
      </c>
      <c r="AE66" s="14" t="n">
        <f aca="false">'CUZ Final'!AE14</f>
        <v>0.936</v>
      </c>
      <c r="AF66" s="9" t="str">
        <f aca="false">'CUZ Final'!AF14</f>
        <v>n/d</v>
      </c>
      <c r="AG66" s="9" t="str">
        <f aca="false">'CUZ Final'!AG14</f>
        <v>n/d</v>
      </c>
    </row>
    <row r="67" customFormat="false" ht="15" hidden="false" customHeight="true" outlineLevel="0" collapsed="false">
      <c r="A67" s="22" t="str">
        <f aca="false">'CUZ Final'!A15</f>
        <v>2018</v>
      </c>
      <c r="B67" s="9" t="n">
        <f aca="false">'CUZ Final'!B15</f>
        <v>326.063</v>
      </c>
      <c r="C67" s="9" t="n">
        <f aca="false">'CUZ Final'!C15</f>
        <v>45.886</v>
      </c>
      <c r="D67" s="9" t="n">
        <f aca="false">'CUZ Final'!D15</f>
        <v>280.177</v>
      </c>
      <c r="E67" s="20" t="n">
        <f aca="false">'CUZ Final'!E15</f>
        <v>7.9</v>
      </c>
      <c r="F67" s="19" t="n">
        <f aca="false">'CUZ Final'!F15</f>
        <v>427.359</v>
      </c>
      <c r="G67" s="9" t="n">
        <f aca="false">'CUZ Final'!G15</f>
        <v>3376.1361</v>
      </c>
      <c r="H67" s="9" t="n">
        <f aca="false">'CUZ Final'!H15</f>
        <v>85.663</v>
      </c>
      <c r="I67" s="9" t="n">
        <f aca="false">'CUZ Final'!I15</f>
        <v>99.029</v>
      </c>
      <c r="J67" s="9" t="n">
        <f aca="false">'CUZ Final'!J15</f>
        <v>184.692</v>
      </c>
      <c r="K67" s="9" t="n">
        <f aca="false">'CUZ Final'!K15</f>
        <v>3191.4441</v>
      </c>
      <c r="L67" s="9" t="n">
        <f aca="false">'CUZ Final'!L15</f>
        <v>597.206</v>
      </c>
      <c r="M67" s="9" t="n">
        <f aca="false">'CUZ Final'!M15</f>
        <v>636.81</v>
      </c>
      <c r="N67" s="9" t="n">
        <f aca="false">'CUZ Final'!N15</f>
        <v>0</v>
      </c>
      <c r="O67" s="9" t="n">
        <f aca="false">'CUZ Final'!O15</f>
        <v>1234.016</v>
      </c>
      <c r="P67" s="9" t="n">
        <f aca="false">'CUZ Final'!P15</f>
        <v>4610.1521</v>
      </c>
      <c r="Q67" s="9" t="n">
        <f aca="false">'CUZ Final'!Q15</f>
        <v>4425.4601</v>
      </c>
      <c r="R67" s="9" t="n">
        <f aca="false">'CUZ Final'!R15</f>
        <v>267.899</v>
      </c>
      <c r="S67" s="9" t="str">
        <f aca="false">'CUZ Final'!S15</f>
        <v>n/d</v>
      </c>
      <c r="T67" s="9" t="str">
        <f aca="false">'CUZ Final'!T15</f>
        <v>n/d</v>
      </c>
      <c r="U67" s="9" t="n">
        <f aca="false">'CUZ Final'!U15</f>
        <v>51.149</v>
      </c>
      <c r="V67" s="9" t="n">
        <f aca="false">'CUZ Final'!V15</f>
        <v>216.75</v>
      </c>
      <c r="W67" s="9" t="n">
        <f aca="false">'CUZ Final'!W15</f>
        <v>229.034</v>
      </c>
      <c r="X67" s="9" t="n">
        <f aca="false">'CUZ Final'!X15</f>
        <v>107.167</v>
      </c>
      <c r="Y67" s="14" t="n">
        <f aca="false">'CUZ Final'!Y15</f>
        <v>0.0269</v>
      </c>
      <c r="Z67" s="14" t="n">
        <f aca="false">'CUZ Final'!Z15</f>
        <v>0.0736788927325319</v>
      </c>
      <c r="AA67" s="14" t="n">
        <f aca="false">'CUZ Final'!AA15</f>
        <v>0.0877900383716575</v>
      </c>
      <c r="AB67" s="15" t="n">
        <f aca="false">'CUZ Final'!AB15</f>
        <v>13.5724080929146</v>
      </c>
      <c r="AC67" s="15" t="n">
        <f aca="false">'CUZ Final'!AC15</f>
        <v>11.3908140211366</v>
      </c>
      <c r="AD67" s="14" t="n">
        <f aca="false">'CUZ Final'!AD15</f>
        <v>0.325</v>
      </c>
      <c r="AE67" s="14" t="n">
        <f aca="false">'CUZ Final'!AE15</f>
        <v>0.949</v>
      </c>
      <c r="AF67" s="9" t="str">
        <f aca="false">'CUZ Final'!AF15</f>
        <v>n/d</v>
      </c>
      <c r="AG67" s="9" t="str">
        <f aca="false">'CUZ Final'!AG15</f>
        <v>n/d</v>
      </c>
    </row>
    <row r="68" customFormat="false" ht="15" hidden="false" customHeight="true" outlineLevel="0" collapsed="false">
      <c r="A68" s="22" t="str">
        <f aca="false">'CUZ Final'!A16</f>
        <v>2017</v>
      </c>
      <c r="B68" s="9" t="n">
        <f aca="false">'CUZ Final'!B16</f>
        <v>313.206</v>
      </c>
      <c r="C68" s="9" t="n">
        <f aca="false">'CUZ Final'!C16</f>
        <v>41.382</v>
      </c>
      <c r="D68" s="9" t="n">
        <f aca="false">'CUZ Final'!D16</f>
        <v>271.824</v>
      </c>
      <c r="E68" s="20" t="n">
        <f aca="false">'CUZ Final'!E16</f>
        <v>9.25</v>
      </c>
      <c r="F68" s="19" t="n">
        <f aca="false">'CUZ Final'!F16</f>
        <v>426.995</v>
      </c>
      <c r="G68" s="9" t="n">
        <f aca="false">'CUZ Final'!G16</f>
        <v>3949.70375</v>
      </c>
      <c r="H68" s="9" t="n">
        <f aca="false">'CUZ Final'!H16</f>
        <v>23.254</v>
      </c>
      <c r="I68" s="9" t="n">
        <f aca="false">'CUZ Final'!I16</f>
        <v>311.195</v>
      </c>
      <c r="J68" s="9" t="n">
        <f aca="false">'CUZ Final'!J16</f>
        <v>334.449</v>
      </c>
      <c r="K68" s="9" t="n">
        <f aca="false">'CUZ Final'!K16</f>
        <v>3615.25475</v>
      </c>
      <c r="L68" s="9" t="n">
        <f aca="false">'CUZ Final'!L16</f>
        <v>596.577</v>
      </c>
      <c r="M68" s="9" t="n">
        <f aca="false">'CUZ Final'!M16</f>
        <v>665.946</v>
      </c>
      <c r="N68" s="9" t="n">
        <f aca="false">'CUZ Final'!N16</f>
        <v>0</v>
      </c>
      <c r="O68" s="9" t="n">
        <f aca="false">'CUZ Final'!O16</f>
        <v>1262.523</v>
      </c>
      <c r="P68" s="9" t="n">
        <f aca="false">'CUZ Final'!P16</f>
        <v>5212.22675</v>
      </c>
      <c r="Q68" s="9" t="n">
        <f aca="false">'CUZ Final'!Q16</f>
        <v>4877.77775</v>
      </c>
      <c r="R68" s="9" t="n">
        <f aca="false">'CUZ Final'!R16</f>
        <v>259.9</v>
      </c>
      <c r="S68" s="9" t="str">
        <f aca="false">'CUZ Final'!S16</f>
        <v>n/d</v>
      </c>
      <c r="T68" s="9" t="str">
        <f aca="false">'CUZ Final'!T16</f>
        <v>n/d</v>
      </c>
      <c r="U68" s="9" t="n">
        <f aca="false">'CUZ Final'!U16</f>
        <v>50.616</v>
      </c>
      <c r="V68" s="9" t="n">
        <f aca="false">'CUZ Final'!V16</f>
        <v>209.284</v>
      </c>
      <c r="W68" s="9" t="n">
        <f aca="false">'CUZ Final'!W16</f>
        <v>211.649</v>
      </c>
      <c r="X68" s="9" t="n">
        <f aca="false">'CUZ Final'!X16</f>
        <v>99.151</v>
      </c>
      <c r="Y68" s="14" t="n">
        <f aca="false">'CUZ Final'!Y16</f>
        <v>0.024</v>
      </c>
      <c r="Z68" s="14" t="n">
        <f aca="false">'CUZ Final'!Z16</f>
        <v>0.06421079763218</v>
      </c>
      <c r="AA68" s="14" t="n">
        <f aca="false">'CUZ Final'!AA16</f>
        <v>0.0751880624733292</v>
      </c>
      <c r="AB68" s="15" t="n">
        <f aca="false">'CUZ Final'!AB16</f>
        <v>15.5737046863725</v>
      </c>
      <c r="AC68" s="15" t="n">
        <f aca="false">'CUZ Final'!AC16</f>
        <v>13.299983629113</v>
      </c>
      <c r="AD68" s="14" t="n">
        <f aca="false">'CUZ Final'!AD16</f>
        <v>0.196</v>
      </c>
      <c r="AE68" s="14" t="n">
        <f aca="false">'CUZ Final'!AE16</f>
        <v>0.941</v>
      </c>
      <c r="AF68" s="9" t="str">
        <f aca="false">'CUZ Final'!AF16</f>
        <v>n/d</v>
      </c>
      <c r="AG68" s="9" t="str">
        <f aca="false">'CUZ Final'!AG16</f>
        <v>n/d</v>
      </c>
    </row>
    <row r="69" customFormat="false" ht="15" hidden="false" customHeight="true" outlineLevel="0" collapsed="false">
      <c r="A69" s="22" t="str">
        <f aca="false">'CUZ Final'!A17</f>
        <v>2016</v>
      </c>
      <c r="B69" s="9" t="n">
        <f aca="false">'CUZ Final'!B17</f>
        <v>260.281</v>
      </c>
      <c r="C69" s="9" t="n">
        <f aca="false">'CUZ Final'!C17</f>
        <v>41.095</v>
      </c>
      <c r="D69" s="9" t="n">
        <f aca="false">'CUZ Final'!D17</f>
        <v>219.186</v>
      </c>
      <c r="E69" s="20" t="n">
        <f aca="false">'CUZ Final'!E17</f>
        <v>8.51</v>
      </c>
      <c r="F69" s="19" t="n">
        <f aca="false">'CUZ Final'!F17</f>
        <v>401.596</v>
      </c>
      <c r="G69" s="9" t="n">
        <f aca="false">'CUZ Final'!G17</f>
        <v>3417.58196</v>
      </c>
      <c r="H69" s="9" t="n">
        <f aca="false">'CUZ Final'!H17</f>
        <v>19.93</v>
      </c>
      <c r="I69" s="9" t="n">
        <f aca="false">'CUZ Final'!I17</f>
        <v>247.782</v>
      </c>
      <c r="J69" s="9" t="n">
        <f aca="false">'CUZ Final'!J17</f>
        <v>267.712</v>
      </c>
      <c r="K69" s="9" t="n">
        <f aca="false">'CUZ Final'!K17</f>
        <v>3149.86996</v>
      </c>
      <c r="L69" s="9" t="n">
        <f aca="false">'CUZ Final'!L17</f>
        <v>382.174</v>
      </c>
      <c r="M69" s="9" t="n">
        <f aca="false">'CUZ Final'!M17</f>
        <v>1250.096</v>
      </c>
      <c r="N69" s="9" t="n">
        <f aca="false">'CUZ Final'!N17</f>
        <v>0</v>
      </c>
      <c r="O69" s="9" t="n">
        <f aca="false">'CUZ Final'!O17</f>
        <v>1632.27</v>
      </c>
      <c r="P69" s="9" t="n">
        <f aca="false">'CUZ Final'!P17</f>
        <v>5049.85196</v>
      </c>
      <c r="Q69" s="9" t="n">
        <f aca="false">'CUZ Final'!Q17</f>
        <v>4782.13996</v>
      </c>
      <c r="R69" s="9" t="n">
        <f aca="false">'CUZ Final'!R17</f>
        <v>160.628</v>
      </c>
      <c r="S69" s="9" t="str">
        <f aca="false">'CUZ Final'!S17</f>
        <v>n/d</v>
      </c>
      <c r="T69" s="9" t="str">
        <f aca="false">'CUZ Final'!T17</f>
        <v>n/d</v>
      </c>
      <c r="U69" s="9" t="n">
        <f aca="false">'CUZ Final'!U17</f>
        <v>33.236</v>
      </c>
      <c r="V69" s="9" t="n">
        <f aca="false">'CUZ Final'!V17</f>
        <v>127.392</v>
      </c>
      <c r="W69" s="9" t="n">
        <f aca="false">'CUZ Final'!W17</f>
        <v>111.282</v>
      </c>
      <c r="X69" s="9" t="n">
        <f aca="false">'CUZ Final'!X17</f>
        <v>50.548</v>
      </c>
      <c r="Y69" s="14" t="n">
        <f aca="false">'CUZ Final'!Y17</f>
        <v>0.0245</v>
      </c>
      <c r="Z69" s="14" t="n">
        <f aca="false">'CUZ Final'!Z17</f>
        <v>0.0544277252813822</v>
      </c>
      <c r="AA69" s="14" t="n">
        <f aca="false">'CUZ Final'!AA17</f>
        <v>0.0695857298185097</v>
      </c>
      <c r="AB69" s="15" t="n">
        <f aca="false">'CUZ Final'!AB17</f>
        <v>18.3729890387696</v>
      </c>
      <c r="AC69" s="15" t="n">
        <f aca="false">'CUZ Final'!AC17</f>
        <v>14.3707625487029</v>
      </c>
      <c r="AD69" s="14" t="n">
        <f aca="false">'CUZ Final'!AD17</f>
        <v>0.2</v>
      </c>
      <c r="AE69" s="14" t="n">
        <f aca="false">'CUZ Final'!AE17</f>
        <v>0.918</v>
      </c>
      <c r="AF69" s="9" t="str">
        <f aca="false">'CUZ Final'!AF17</f>
        <v>n/d</v>
      </c>
      <c r="AG69" s="9" t="str">
        <f aca="false">'CUZ Final'!AG17</f>
        <v>n/d</v>
      </c>
    </row>
    <row r="71" customFormat="false" ht="15" hidden="false" customHeight="true" outlineLevel="0" collapsed="false">
      <c r="A71" s="6" t="s">
        <v>663</v>
      </c>
    </row>
    <row r="72" customFormat="false" ht="15" hidden="false" customHeight="true" outlineLevel="0" collapsed="false">
      <c r="A72" s="22" t="str">
        <f aca="false">'HIW Final'!A8</f>
        <v>2025</v>
      </c>
      <c r="B72" s="9" t="n">
        <f aca="false">'HIW Final'!B8</f>
        <v>544.739</v>
      </c>
      <c r="C72" s="9" t="n">
        <f aca="false">'HIW Final'!C8</f>
        <v>152.433</v>
      </c>
      <c r="D72" s="9" t="n">
        <f aca="false">'HIW Final'!D8</f>
        <v>392.306</v>
      </c>
      <c r="E72" s="20" t="n">
        <f aca="false">'HIW Final'!E8</f>
        <v>25.82</v>
      </c>
      <c r="F72" s="19" t="n">
        <f aca="false">'HIW Final'!F8</f>
        <v>111.949</v>
      </c>
      <c r="G72" s="9" t="n">
        <f aca="false">'HIW Final'!G8</f>
        <v>2890.52318</v>
      </c>
      <c r="H72" s="9" t="n">
        <f aca="false">'HIW Final'!H8</f>
        <v>214.149</v>
      </c>
      <c r="I72" s="9" t="n">
        <f aca="false">'HIW Final'!I8</f>
        <v>391.793</v>
      </c>
      <c r="J72" s="9" t="n">
        <f aca="false">'HIW Final'!J8</f>
        <v>605.942</v>
      </c>
      <c r="K72" s="9" t="n">
        <f aca="false">'HIW Final'!K8</f>
        <v>2284.58118</v>
      </c>
      <c r="L72" s="9" t="n">
        <f aca="false">'HIW Final'!L8</f>
        <v>2866.745</v>
      </c>
      <c r="M72" s="9" t="n">
        <f aca="false">'HIW Final'!M8</f>
        <v>703.409</v>
      </c>
      <c r="N72" s="9" t="n">
        <f aca="false">'HIW Final'!N8</f>
        <v>26.691</v>
      </c>
      <c r="O72" s="9" t="n">
        <f aca="false">'HIW Final'!O8</f>
        <v>3596.845</v>
      </c>
      <c r="P72" s="9" t="n">
        <f aca="false">'HIW Final'!P8</f>
        <v>6487.36818</v>
      </c>
      <c r="Q72" s="9" t="n">
        <f aca="false">'HIW Final'!Q8</f>
        <v>5881.42618</v>
      </c>
      <c r="R72" s="9" t="n">
        <f aca="false">'HIW Final'!R8</f>
        <v>384.978</v>
      </c>
      <c r="S72" s="9" t="n">
        <f aca="false">'HIW Final'!S8</f>
        <v>115.418</v>
      </c>
      <c r="T72" s="9" t="n">
        <f aca="false">'HIW Final'!T8</f>
        <v>29.306</v>
      </c>
      <c r="U72" s="9" t="n">
        <f aca="false">'HIW Final'!U8</f>
        <v>144.724</v>
      </c>
      <c r="V72" s="9" t="n">
        <f aca="false">'HIW Final'!V8</f>
        <v>240.254</v>
      </c>
      <c r="W72" s="9" t="n">
        <f aca="false">'HIW Final'!W8</f>
        <v>359.207</v>
      </c>
      <c r="X72" s="9" t="n">
        <f aca="false">'HIW Final'!X8</f>
        <v>220.977</v>
      </c>
      <c r="Y72" s="14" t="n">
        <f aca="false">'HIW Final'!Y8</f>
        <v>0.0418</v>
      </c>
      <c r="Z72" s="14" t="n">
        <f aca="false">'HIW Final'!Z8</f>
        <v>0.092620222260445</v>
      </c>
      <c r="AA72" s="14" t="n">
        <f aca="false">'HIW Final'!AA8</f>
        <v>0.171719001904761</v>
      </c>
      <c r="AB72" s="15" t="n">
        <f aca="false">'HIW Final'!AB8</f>
        <v>10.7967782369171</v>
      </c>
      <c r="AC72" s="15" t="n">
        <f aca="false">'HIW Final'!AC8</f>
        <v>5.82346734436894</v>
      </c>
      <c r="AD72" s="14" t="n">
        <f aca="false">'HIW Final'!AD8</f>
        <v>0.154</v>
      </c>
      <c r="AE72" s="14" t="n">
        <f aca="false">'HIW Final'!AE8</f>
        <v>0.853</v>
      </c>
      <c r="AF72" s="9" t="str">
        <f aca="false">'HIW Final'!AF8</f>
        <v>n/d</v>
      </c>
      <c r="AG72" s="9" t="str">
        <f aca="false">'HIW Final'!AG8</f>
        <v>n/d</v>
      </c>
    </row>
    <row r="73" customFormat="false" ht="15" hidden="false" customHeight="true" outlineLevel="0" collapsed="false">
      <c r="A73" s="22" t="str">
        <f aca="false">'HIW Final'!A9</f>
        <v>2024</v>
      </c>
      <c r="B73" s="9" t="n">
        <f aca="false">'HIW Final'!B9</f>
        <v>553.689</v>
      </c>
      <c r="C73" s="9" t="n">
        <f aca="false">'HIW Final'!C9</f>
        <v>147.198</v>
      </c>
      <c r="D73" s="9" t="n">
        <f aca="false">'HIW Final'!D9</f>
        <v>406.491</v>
      </c>
      <c r="E73" s="20" t="n">
        <f aca="false">'HIW Final'!E9</f>
        <v>30.58</v>
      </c>
      <c r="F73" s="19" t="n">
        <f aca="false">'HIW Final'!F9</f>
        <v>109.775</v>
      </c>
      <c r="G73" s="9" t="n">
        <f aca="false">'HIW Final'!G9</f>
        <v>3356.9195</v>
      </c>
      <c r="H73" s="9" t="n">
        <f aca="false">'HIW Final'!H9</f>
        <v>221.048</v>
      </c>
      <c r="I73" s="9" t="n">
        <f aca="false">'HIW Final'!I9</f>
        <v>367.962</v>
      </c>
      <c r="J73" s="9" t="n">
        <f aca="false">'HIW Final'!J9</f>
        <v>589.01</v>
      </c>
      <c r="K73" s="9" t="n">
        <f aca="false">'HIW Final'!K9</f>
        <v>2767.9095</v>
      </c>
      <c r="L73" s="9" t="n">
        <f aca="false">'HIW Final'!L9</f>
        <v>2595.815</v>
      </c>
      <c r="M73" s="9" t="n">
        <f aca="false">'HIW Final'!M9</f>
        <v>712.186</v>
      </c>
      <c r="N73" s="9" t="n">
        <f aca="false">'HIW Final'!N9</f>
        <v>28.811</v>
      </c>
      <c r="O73" s="9" t="n">
        <f aca="false">'HIW Final'!O9</f>
        <v>3336.812</v>
      </c>
      <c r="P73" s="9" t="n">
        <f aca="false">'HIW Final'!P9</f>
        <v>6693.7315</v>
      </c>
      <c r="Q73" s="9" t="n">
        <f aca="false">'HIW Final'!Q9</f>
        <v>6104.7215</v>
      </c>
      <c r="R73" s="9" t="n">
        <f aca="false">'HIW Final'!R9</f>
        <v>391.214</v>
      </c>
      <c r="S73" s="9" t="n">
        <f aca="false">'HIW Final'!S9</f>
        <v>105.996</v>
      </c>
      <c r="T73" s="9" t="n">
        <f aca="false">'HIW Final'!T9</f>
        <v>28.829</v>
      </c>
      <c r="U73" s="9" t="n">
        <f aca="false">'HIW Final'!U9</f>
        <v>134.825</v>
      </c>
      <c r="V73" s="9" t="n">
        <f aca="false">'HIW Final'!V9</f>
        <v>256.389</v>
      </c>
      <c r="W73" s="9" t="n">
        <f aca="false">'HIW Final'!W9</f>
        <v>403.584</v>
      </c>
      <c r="X73" s="9" t="n">
        <f aca="false">'HIW Final'!X9</f>
        <v>216.654</v>
      </c>
      <c r="Y73" s="14" t="n">
        <f aca="false">'HIW Final'!Y9</f>
        <v>0.0458</v>
      </c>
      <c r="Z73" s="14" t="n">
        <f aca="false">'HIW Final'!Z9</f>
        <v>0.090698486409249</v>
      </c>
      <c r="AA73" s="14" t="n">
        <f aca="false">'HIW Final'!AA9</f>
        <v>0.146858486522049</v>
      </c>
      <c r="AB73" s="15" t="n">
        <f aca="false">'HIW Final'!AB9</f>
        <v>11.0255423170769</v>
      </c>
      <c r="AC73" s="15" t="n">
        <f aca="false">'HIW Final'!AC9</f>
        <v>6.80927622013772</v>
      </c>
      <c r="AD73" s="14" t="n">
        <f aca="false">'HIW Final'!AD9</f>
        <v>0.122</v>
      </c>
      <c r="AE73" s="14" t="n">
        <f aca="false">'HIW Final'!AE9</f>
        <v>0.871</v>
      </c>
      <c r="AF73" s="9" t="str">
        <f aca="false">'HIW Final'!AF9</f>
        <v>n/d</v>
      </c>
      <c r="AG73" s="9" t="str">
        <f aca="false">'HIW Final'!AG9</f>
        <v>n/d</v>
      </c>
    </row>
    <row r="74" customFormat="false" ht="15" hidden="false" customHeight="true" outlineLevel="0" collapsed="false">
      <c r="A74" s="22" t="str">
        <f aca="false">'HIW Final'!A10</f>
        <v>2023</v>
      </c>
      <c r="B74" s="9" t="n">
        <f aca="false">'HIW Final'!B10</f>
        <v>565.215</v>
      </c>
      <c r="C74" s="9" t="n">
        <f aca="false">'HIW Final'!C10</f>
        <v>136.71</v>
      </c>
      <c r="D74" s="9" t="n">
        <f aca="false">'HIW Final'!D10</f>
        <v>428.505</v>
      </c>
      <c r="E74" s="20" t="n">
        <f aca="false">'HIW Final'!E10</f>
        <v>22.96</v>
      </c>
      <c r="F74" s="19" t="n">
        <f aca="false">'HIW Final'!F10</f>
        <v>107.867</v>
      </c>
      <c r="G74" s="9" t="n">
        <f aca="false">'HIW Final'!G10</f>
        <v>2476.62632</v>
      </c>
      <c r="H74" s="9" t="n">
        <f aca="false">'HIW Final'!H10</f>
        <v>227.058</v>
      </c>
      <c r="I74" s="9" t="n">
        <f aca="false">'HIW Final'!I10</f>
        <v>276.363</v>
      </c>
      <c r="J74" s="9" t="n">
        <f aca="false">'HIW Final'!J10</f>
        <v>503.421</v>
      </c>
      <c r="K74" s="9" t="n">
        <f aca="false">'HIW Final'!K10</f>
        <v>1973.20532</v>
      </c>
      <c r="L74" s="9" t="n">
        <f aca="false">'HIW Final'!L10</f>
        <v>2510.193</v>
      </c>
      <c r="M74" s="9" t="n">
        <f aca="false">'HIW Final'!M10</f>
        <v>720.752</v>
      </c>
      <c r="N74" s="9" t="n">
        <f aca="false">'HIW Final'!N10</f>
        <v>28.811</v>
      </c>
      <c r="O74" s="9" t="n">
        <f aca="false">'HIW Final'!O10</f>
        <v>3259.756</v>
      </c>
      <c r="P74" s="9" t="n">
        <f aca="false">'HIW Final'!P10</f>
        <v>5736.38232</v>
      </c>
      <c r="Q74" s="9" t="n">
        <f aca="false">'HIW Final'!Q10</f>
        <v>5232.96132</v>
      </c>
      <c r="R74" s="9" t="n">
        <f aca="false">'HIW Final'!R10</f>
        <v>413.256</v>
      </c>
      <c r="S74" s="9" t="n">
        <f aca="false">'HIW Final'!S10</f>
        <v>94.243</v>
      </c>
      <c r="T74" s="9" t="n">
        <f aca="false">'HIW Final'!T10</f>
        <v>20.116</v>
      </c>
      <c r="U74" s="9" t="n">
        <f aca="false">'HIW Final'!U10</f>
        <v>114.359</v>
      </c>
      <c r="V74" s="9" t="n">
        <f aca="false">'HIW Final'!V10</f>
        <v>298.897</v>
      </c>
      <c r="W74" s="9" t="n">
        <f aca="false">'HIW Final'!W10</f>
        <v>386.962</v>
      </c>
      <c r="X74" s="9" t="n">
        <f aca="false">'HIW Final'!X10</f>
        <v>215.534</v>
      </c>
      <c r="Y74" s="14" t="n">
        <f aca="false">'HIW Final'!Y10</f>
        <v>0.0388</v>
      </c>
      <c r="Z74" s="14" t="n">
        <f aca="false">'HIW Final'!Z10</f>
        <v>0.108010544209411</v>
      </c>
      <c r="AA74" s="14" t="n">
        <f aca="false">'HIW Final'!AA10</f>
        <v>0.217161891698123</v>
      </c>
      <c r="AB74" s="15" t="n">
        <f aca="false">'HIW Final'!AB10</f>
        <v>9.25835535150341</v>
      </c>
      <c r="AC74" s="15" t="n">
        <f aca="false">'HIW Final'!AC10</f>
        <v>4.60485949988915</v>
      </c>
      <c r="AD74" s="14" t="n">
        <f aca="false">'HIW Final'!AD10</f>
        <v>0.074</v>
      </c>
      <c r="AE74" s="14" t="n">
        <f aca="false">'HIW Final'!AE10</f>
        <v>0.889</v>
      </c>
      <c r="AF74" s="9" t="str">
        <f aca="false">'HIW Final'!AF10</f>
        <v>n/d</v>
      </c>
      <c r="AG74" s="9" t="str">
        <f aca="false">'HIW Final'!AG10</f>
        <v>n/d</v>
      </c>
    </row>
    <row r="75" customFormat="false" ht="15" hidden="false" customHeight="true" outlineLevel="0" collapsed="false">
      <c r="A75" s="22" t="str">
        <f aca="false">'HIW Final'!A11</f>
        <v>2022</v>
      </c>
      <c r="B75" s="9" t="n">
        <f aca="false">'HIW Final'!B11</f>
        <v>569.123</v>
      </c>
      <c r="C75" s="9" t="n">
        <f aca="false">'HIW Final'!C11</f>
        <v>105.385</v>
      </c>
      <c r="D75" s="9" t="n">
        <f aca="false">'HIW Final'!D11</f>
        <v>463.738</v>
      </c>
      <c r="E75" s="20" t="n">
        <f aca="false">'HIW Final'!E11</f>
        <v>27.98</v>
      </c>
      <c r="F75" s="19" t="n">
        <f aca="false">'HIW Final'!F11</f>
        <v>107.569</v>
      </c>
      <c r="G75" s="9" t="n">
        <f aca="false">'HIW Final'!G11</f>
        <v>3009.78062</v>
      </c>
      <c r="H75" s="9" t="n">
        <f aca="false">'HIW Final'!H11</f>
        <v>231.218</v>
      </c>
      <c r="I75" s="9" t="n">
        <f aca="false">'HIW Final'!I11</f>
        <v>159.146</v>
      </c>
      <c r="J75" s="9" t="n">
        <f aca="false">'HIW Final'!J11</f>
        <v>390.364</v>
      </c>
      <c r="K75" s="9" t="n">
        <f aca="false">'HIW Final'!K11</f>
        <v>2619.41662</v>
      </c>
      <c r="L75" s="9" t="n">
        <f aca="false">'HIW Final'!L11</f>
        <v>2729.62</v>
      </c>
      <c r="M75" s="9" t="n">
        <f aca="false">'HIW Final'!M11</f>
        <v>483.988</v>
      </c>
      <c r="N75" s="9" t="n">
        <f aca="false">'HIW Final'!N11</f>
        <v>28.821</v>
      </c>
      <c r="O75" s="9" t="n">
        <f aca="false">'HIW Final'!O11</f>
        <v>3242.429</v>
      </c>
      <c r="P75" s="9" t="n">
        <f aca="false">'HIW Final'!P11</f>
        <v>6252.20962</v>
      </c>
      <c r="Q75" s="9" t="n">
        <f aca="false">'HIW Final'!Q11</f>
        <v>5861.84562</v>
      </c>
      <c r="R75" s="9" t="n">
        <f aca="false">'HIW Final'!R11</f>
        <v>433.318</v>
      </c>
      <c r="S75" s="9" t="n">
        <f aca="false">'HIW Final'!S11</f>
        <v>76.352</v>
      </c>
      <c r="T75" s="9" t="n">
        <f aca="false">'HIW Final'!T11</f>
        <v>21.194</v>
      </c>
      <c r="U75" s="9" t="n">
        <f aca="false">'HIW Final'!U11</f>
        <v>97.546</v>
      </c>
      <c r="V75" s="9" t="n">
        <f aca="false">'HIW Final'!V11</f>
        <v>335.772</v>
      </c>
      <c r="W75" s="9" t="n">
        <f aca="false">'HIW Final'!W11</f>
        <v>421.779</v>
      </c>
      <c r="X75" s="9" t="n">
        <f aca="false">'HIW Final'!X11</f>
        <v>215.049</v>
      </c>
      <c r="Y75" s="14" t="n">
        <f aca="false">'HIW Final'!Y11</f>
        <v>0.0388</v>
      </c>
      <c r="Z75" s="14" t="n">
        <f aca="false">'HIW Final'!Z11</f>
        <v>0.0970893873523745</v>
      </c>
      <c r="AA75" s="14" t="n">
        <f aca="false">'HIW Final'!AA11</f>
        <v>0.177038656798322</v>
      </c>
      <c r="AB75" s="15" t="n">
        <f aca="false">'HIW Final'!AB11</f>
        <v>10.2997869001956</v>
      </c>
      <c r="AC75" s="15" t="n">
        <f aca="false">'HIW Final'!AC11</f>
        <v>5.6484838852973</v>
      </c>
      <c r="AD75" s="14" t="n">
        <f aca="false">'HIW Final'!AD11</f>
        <v>0.09</v>
      </c>
      <c r="AE75" s="14" t="n">
        <f aca="false">'HIW Final'!AE11</f>
        <v>0.911</v>
      </c>
      <c r="AF75" s="9" t="str">
        <f aca="false">'HIW Final'!AF11</f>
        <v>n/d</v>
      </c>
      <c r="AG75" s="9" t="str">
        <f aca="false">'HIW Final'!AG11</f>
        <v>n/d</v>
      </c>
    </row>
    <row r="76" customFormat="false" ht="15" hidden="false" customHeight="true" outlineLevel="0" collapsed="false">
      <c r="A76" s="22" t="str">
        <f aca="false">'HIW Final'!A12</f>
        <v>2021</v>
      </c>
      <c r="B76" s="9" t="n">
        <f aca="false">'HIW Final'!B12</f>
        <v>531.571</v>
      </c>
      <c r="C76" s="9" t="n">
        <f aca="false">'HIW Final'!C12</f>
        <v>85.853</v>
      </c>
      <c r="D76" s="9" t="n">
        <f aca="false">'HIW Final'!D12</f>
        <v>445.718</v>
      </c>
      <c r="E76" s="20" t="n">
        <f aca="false">'HIW Final'!E12</f>
        <v>44.59</v>
      </c>
      <c r="F76" s="19" t="n">
        <f aca="false">'HIW Final'!F12</f>
        <v>107.398</v>
      </c>
      <c r="G76" s="9" t="n">
        <f aca="false">'HIW Final'!G12</f>
        <v>4788.87682</v>
      </c>
      <c r="H76" s="9" t="n">
        <f aca="false">'HIW Final'!H12</f>
        <v>215.257</v>
      </c>
      <c r="I76" s="9" t="n">
        <f aca="false">'HIW Final'!I12</f>
        <v>107.115</v>
      </c>
      <c r="J76" s="9" t="n">
        <f aca="false">'HIW Final'!J12</f>
        <v>322.372</v>
      </c>
      <c r="K76" s="9" t="n">
        <f aca="false">'HIW Final'!K12</f>
        <v>4466.50482</v>
      </c>
      <c r="L76" s="9" t="n">
        <f aca="false">'HIW Final'!L12</f>
        <v>2312.18</v>
      </c>
      <c r="M76" s="9" t="n">
        <f aca="false">'HIW Final'!M12</f>
        <v>491.942</v>
      </c>
      <c r="N76" s="9" t="n">
        <f aca="false">'HIW Final'!N12</f>
        <v>28.821</v>
      </c>
      <c r="O76" s="9" t="n">
        <f aca="false">'HIW Final'!O12</f>
        <v>2832.943</v>
      </c>
      <c r="P76" s="9" t="n">
        <f aca="false">'HIW Final'!P12</f>
        <v>7621.81982</v>
      </c>
      <c r="Q76" s="9" t="n">
        <f aca="false">'HIW Final'!Q12</f>
        <v>7299.44782</v>
      </c>
      <c r="R76" s="9" t="n">
        <f aca="false">'HIW Final'!R12</f>
        <v>413.313</v>
      </c>
      <c r="S76" s="9" t="n">
        <f aca="false">'HIW Final'!S12</f>
        <v>61.136</v>
      </c>
      <c r="T76" s="9" t="n">
        <f aca="false">'HIW Final'!T12</f>
        <v>17.511</v>
      </c>
      <c r="U76" s="9" t="n">
        <f aca="false">'HIW Final'!U12</f>
        <v>78.647</v>
      </c>
      <c r="V76" s="9" t="n">
        <f aca="false">'HIW Final'!V12</f>
        <v>334.666</v>
      </c>
      <c r="W76" s="9" t="n">
        <f aca="false">'HIW Final'!W12</f>
        <v>414.558</v>
      </c>
      <c r="X76" s="9" t="n">
        <f aca="false">'HIW Final'!X12</f>
        <v>209.698</v>
      </c>
      <c r="Y76" s="14" t="n">
        <f aca="false">'HIW Final'!Y12</f>
        <v>0.0152</v>
      </c>
      <c r="Z76" s="14" t="n">
        <f aca="false">'HIW Final'!Z12</f>
        <v>0.0728234536513202</v>
      </c>
      <c r="AA76" s="14" t="n">
        <f aca="false">'HIW Final'!AA12</f>
        <v>0.0997912278084142</v>
      </c>
      <c r="AB76" s="15" t="n">
        <f aca="false">'HIW Final'!AB12</f>
        <v>13.7318398106744</v>
      </c>
      <c r="AC76" s="15" t="n">
        <f aca="false">'HIW Final'!AC12</f>
        <v>10.020920896172</v>
      </c>
      <c r="AD76" s="14" t="n">
        <f aca="false">'HIW Final'!AD12</f>
        <v>0.116</v>
      </c>
      <c r="AE76" s="14" t="n">
        <f aca="false">'HIW Final'!AE12</f>
        <v>0.912</v>
      </c>
      <c r="AF76" s="9" t="str">
        <f aca="false">'HIW Final'!AF12</f>
        <v>n/d</v>
      </c>
      <c r="AG76" s="9" t="str">
        <f aca="false">'HIW Final'!AG12</f>
        <v>n/d</v>
      </c>
    </row>
    <row r="77" customFormat="false" ht="15" hidden="false" customHeight="true" outlineLevel="0" collapsed="false">
      <c r="A77" s="22" t="str">
        <f aca="false">'HIW Final'!A13</f>
        <v>2020</v>
      </c>
      <c r="B77" s="9" t="n">
        <f aca="false">'HIW Final'!B13</f>
        <v>505.075</v>
      </c>
      <c r="C77" s="9" t="n">
        <f aca="false">'HIW Final'!C13</f>
        <v>80.962</v>
      </c>
      <c r="D77" s="9" t="n">
        <f aca="false">'HIW Final'!D13</f>
        <v>424.113</v>
      </c>
      <c r="E77" s="20" t="n">
        <f aca="false">'HIW Final'!E13</f>
        <v>39.63</v>
      </c>
      <c r="F77" s="19" t="n">
        <f aca="false">'HIW Final'!F13</f>
        <v>106.761</v>
      </c>
      <c r="G77" s="9" t="n">
        <f aca="false">'HIW Final'!G13</f>
        <v>4230.93843</v>
      </c>
      <c r="H77" s="9" t="n">
        <f aca="false">'HIW Final'!H13</f>
        <v>131.474</v>
      </c>
      <c r="I77" s="9" t="n">
        <f aca="false">'HIW Final'!I13</f>
        <v>398.862</v>
      </c>
      <c r="J77" s="9" t="n">
        <f aca="false">'HIW Final'!J13</f>
        <v>530.336</v>
      </c>
      <c r="K77" s="9" t="n">
        <f aca="false">'HIW Final'!K13</f>
        <v>3700.60243</v>
      </c>
      <c r="L77" s="9" t="n">
        <f aca="false">'HIW Final'!L13</f>
        <v>2390.652</v>
      </c>
      <c r="M77" s="9" t="n">
        <f aca="false">'HIW Final'!M13</f>
        <v>93.35</v>
      </c>
      <c r="N77" s="9" t="n">
        <f aca="false">'HIW Final'!N13</f>
        <v>28.826</v>
      </c>
      <c r="O77" s="9" t="n">
        <f aca="false">'HIW Final'!O13</f>
        <v>2512.828</v>
      </c>
      <c r="P77" s="9" t="n">
        <f aca="false">'HIW Final'!P13</f>
        <v>6743.76643</v>
      </c>
      <c r="Q77" s="9" t="n">
        <f aca="false">'HIW Final'!Q13</f>
        <v>6213.43043</v>
      </c>
      <c r="R77" s="9" t="n">
        <f aca="false">'HIW Final'!R13</f>
        <v>382.068</v>
      </c>
      <c r="S77" s="9" t="n">
        <f aca="false">'HIW Final'!S13</f>
        <v>75.072</v>
      </c>
      <c r="T77" s="9" t="n">
        <f aca="false">'HIW Final'!T13</f>
        <v>14.816</v>
      </c>
      <c r="U77" s="9" t="n">
        <f aca="false">'HIW Final'!U13</f>
        <v>89.888</v>
      </c>
      <c r="V77" s="9" t="n">
        <f aca="false">'HIW Final'!V13</f>
        <v>292.18</v>
      </c>
      <c r="W77" s="9" t="n">
        <f aca="false">'HIW Final'!W13</f>
        <v>358.16</v>
      </c>
      <c r="X77" s="9" t="n">
        <f aca="false">'HIW Final'!X13</f>
        <v>204.787</v>
      </c>
      <c r="Y77" s="14" t="n">
        <f aca="false">'HIW Final'!Y13</f>
        <v>0.0093</v>
      </c>
      <c r="Z77" s="14" t="n">
        <f aca="false">'HIW Final'!Z13</f>
        <v>0.0812876245562147</v>
      </c>
      <c r="AA77" s="14" t="n">
        <f aca="false">'HIW Final'!AA13</f>
        <v>0.114606475032769</v>
      </c>
      <c r="AB77" s="15" t="n">
        <f aca="false">'HIW Final'!AB13</f>
        <v>12.3019956046132</v>
      </c>
      <c r="AC77" s="15" t="n">
        <f aca="false">'HIW Final'!AC13</f>
        <v>8.72551048894988</v>
      </c>
      <c r="AD77" s="14" t="n">
        <f aca="false">'HIW Final'!AD13</f>
        <v>0.084</v>
      </c>
      <c r="AE77" s="14" t="n">
        <f aca="false">'HIW Final'!AE13</f>
        <v>0.903</v>
      </c>
      <c r="AF77" s="9" t="str">
        <f aca="false">'HIW Final'!AF13</f>
        <v>n/d</v>
      </c>
      <c r="AG77" s="9" t="str">
        <f aca="false">'HIW Final'!AG13</f>
        <v>n/d</v>
      </c>
    </row>
    <row r="78" customFormat="false" ht="15" hidden="false" customHeight="true" outlineLevel="0" collapsed="false">
      <c r="A78" s="22" t="str">
        <f aca="false">'HIW Final'!A14</f>
        <v>2019</v>
      </c>
      <c r="B78" s="9" t="n">
        <f aca="false">'HIW Final'!B14</f>
        <v>487.468</v>
      </c>
      <c r="C78" s="9" t="n">
        <f aca="false">'HIW Final'!C14</f>
        <v>81.648</v>
      </c>
      <c r="D78" s="9" t="n">
        <f aca="false">'HIW Final'!D14</f>
        <v>405.82</v>
      </c>
      <c r="E78" s="20" t="n">
        <f aca="false">'HIW Final'!E14</f>
        <v>48.91</v>
      </c>
      <c r="F78" s="19" t="n">
        <f aca="false">'HIW Final'!F14</f>
        <v>106.48</v>
      </c>
      <c r="G78" s="9" t="n">
        <f aca="false">'HIW Final'!G14</f>
        <v>5207.9368</v>
      </c>
      <c r="H78" s="9" t="n">
        <f aca="false">'HIW Final'!H14</f>
        <v>99.163</v>
      </c>
      <c r="I78" s="9" t="n">
        <f aca="false">'HIW Final'!I14</f>
        <v>222.334</v>
      </c>
      <c r="J78" s="9" t="n">
        <f aca="false">'HIW Final'!J14</f>
        <v>321.497</v>
      </c>
      <c r="K78" s="9" t="n">
        <f aca="false">'HIW Final'!K14</f>
        <v>4886.4398</v>
      </c>
      <c r="L78" s="9" t="n">
        <f aca="false">'HIW Final'!L14</f>
        <v>2461.425</v>
      </c>
      <c r="M78" s="9" t="n">
        <f aca="false">'HIW Final'!M14</f>
        <v>95.303</v>
      </c>
      <c r="N78" s="9" t="n">
        <f aca="false">'HIW Final'!N14</f>
        <v>28.859</v>
      </c>
      <c r="O78" s="9" t="n">
        <f aca="false">'HIW Final'!O14</f>
        <v>2585.587</v>
      </c>
      <c r="P78" s="9" t="n">
        <f aca="false">'HIW Final'!P14</f>
        <v>7793.5238</v>
      </c>
      <c r="Q78" s="9" t="n">
        <f aca="false">'HIW Final'!Q14</f>
        <v>7472.0268</v>
      </c>
      <c r="R78" s="9" t="n">
        <f aca="false">'HIW Final'!R14</f>
        <v>354.769</v>
      </c>
      <c r="S78" s="9" t="n">
        <f aca="false">'HIW Final'!S14</f>
        <v>85.136</v>
      </c>
      <c r="T78" s="9" t="n">
        <f aca="false">'HIW Final'!T14</f>
        <v>28.146</v>
      </c>
      <c r="U78" s="9" t="n">
        <f aca="false">'HIW Final'!U14</f>
        <v>113.282</v>
      </c>
      <c r="V78" s="9" t="n">
        <f aca="false">'HIW Final'!V14</f>
        <v>241.487</v>
      </c>
      <c r="W78" s="9" t="n">
        <f aca="false">'HIW Final'!W14</f>
        <v>365.797</v>
      </c>
      <c r="X78" s="9" t="n">
        <f aca="false">'HIW Final'!X14</f>
        <v>202.124</v>
      </c>
      <c r="Y78" s="14" t="n">
        <f aca="false">'HIW Final'!Y14</f>
        <v>0.0192</v>
      </c>
      <c r="Z78" s="14" t="n">
        <f aca="false">'HIW Final'!Z14</f>
        <v>0.0652390593673995</v>
      </c>
      <c r="AA78" s="14" t="n">
        <f aca="false">'HIW Final'!AA14</f>
        <v>0.0830502403815555</v>
      </c>
      <c r="AB78" s="15" t="n">
        <f aca="false">'HIW Final'!AB14</f>
        <v>15.3282406229742</v>
      </c>
      <c r="AC78" s="15" t="n">
        <f aca="false">'HIW Final'!AC14</f>
        <v>12.0409043418264</v>
      </c>
      <c r="AD78" s="14" t="n">
        <f aca="false">'HIW Final'!AD14</f>
        <v>0.198</v>
      </c>
      <c r="AE78" s="14" t="n">
        <f aca="false">'HIW Final'!AE14</f>
        <v>0.922</v>
      </c>
      <c r="AF78" s="9" t="str">
        <f aca="false">'HIW Final'!AF14</f>
        <v>n/d</v>
      </c>
      <c r="AG78" s="9" t="str">
        <f aca="false">'HIW Final'!AG14</f>
        <v>n/d</v>
      </c>
    </row>
    <row r="79" customFormat="false" ht="15" hidden="false" customHeight="true" outlineLevel="0" collapsed="false">
      <c r="A79" s="22" t="str">
        <f aca="false">'HIW Final'!A15</f>
        <v>2018</v>
      </c>
      <c r="B79" s="9" t="n">
        <f aca="false">'HIW Final'!B15</f>
        <v>477.62</v>
      </c>
      <c r="C79" s="9" t="n">
        <f aca="false">'HIW Final'!C15</f>
        <v>71.422</v>
      </c>
      <c r="D79" s="9" t="n">
        <f aca="false">'HIW Final'!D15</f>
        <v>406.198</v>
      </c>
      <c r="E79" s="20" t="n">
        <f aca="false">'HIW Final'!E15</f>
        <v>38.69</v>
      </c>
      <c r="F79" s="19" t="n">
        <f aca="false">'HIW Final'!F15</f>
        <v>106.296</v>
      </c>
      <c r="G79" s="9" t="n">
        <f aca="false">'HIW Final'!G15</f>
        <v>4112.59224</v>
      </c>
      <c r="H79" s="9" t="n">
        <f aca="false">'HIW Final'!H15</f>
        <v>128.248</v>
      </c>
      <c r="I79" s="9" t="n">
        <f aca="false">'HIW Final'!I15</f>
        <v>360.032</v>
      </c>
      <c r="J79" s="9" t="n">
        <f aca="false">'HIW Final'!J15</f>
        <v>488.28</v>
      </c>
      <c r="K79" s="9" t="n">
        <f aca="false">'HIW Final'!K15</f>
        <v>3624.31224</v>
      </c>
      <c r="L79" s="9" t="n">
        <f aca="false">'HIW Final'!L15</f>
        <v>1997.816</v>
      </c>
      <c r="M79" s="9" t="n">
        <f aca="false">'HIW Final'!M15</f>
        <v>97.179</v>
      </c>
      <c r="N79" s="9" t="n">
        <f aca="false">'HIW Final'!N15</f>
        <v>28.877</v>
      </c>
      <c r="O79" s="9" t="n">
        <f aca="false">'HIW Final'!O15</f>
        <v>2123.872</v>
      </c>
      <c r="P79" s="9" t="n">
        <f aca="false">'HIW Final'!P15</f>
        <v>6236.46424</v>
      </c>
      <c r="Q79" s="9" t="n">
        <f aca="false">'HIW Final'!Q15</f>
        <v>5748.18424</v>
      </c>
      <c r="R79" s="9" t="n">
        <f aca="false">'HIW Final'!R15</f>
        <v>366.164</v>
      </c>
      <c r="S79" s="9" t="n">
        <f aca="false">'HIW Final'!S15</f>
        <v>75.296</v>
      </c>
      <c r="T79" s="9" t="n">
        <f aca="false">'HIW Final'!T15</f>
        <v>25.329</v>
      </c>
      <c r="U79" s="9" t="n">
        <f aca="false">'HIW Final'!U15</f>
        <v>100.625</v>
      </c>
      <c r="V79" s="9" t="n">
        <f aca="false">'HIW Final'!V15</f>
        <v>265.539</v>
      </c>
      <c r="W79" s="9" t="n">
        <f aca="false">'HIW Final'!W15</f>
        <v>358.628</v>
      </c>
      <c r="X79" s="9" t="n">
        <f aca="false">'HIW Final'!X15</f>
        <v>196.469</v>
      </c>
      <c r="Y79" s="14" t="n">
        <f aca="false">'HIW Final'!Y15</f>
        <v>0.0269</v>
      </c>
      <c r="Z79" s="14" t="n">
        <f aca="false">'HIW Final'!Z15</f>
        <v>0.0830905865327657</v>
      </c>
      <c r="AA79" s="14" t="n">
        <f aca="false">'HIW Final'!AA15</f>
        <v>0.1120758844994</v>
      </c>
      <c r="AB79" s="15" t="n">
        <f aca="false">'HIW Final'!AB15</f>
        <v>12.035057660902</v>
      </c>
      <c r="AC79" s="15" t="n">
        <f aca="false">'HIW Final'!AC15</f>
        <v>8.92252605872013</v>
      </c>
      <c r="AD79" s="14" t="n">
        <f aca="false">'HIW Final'!AD15</f>
        <v>0.202</v>
      </c>
      <c r="AE79" s="14" t="n">
        <f aca="false">'HIW Final'!AE15</f>
        <v>0.919</v>
      </c>
      <c r="AF79" s="9" t="str">
        <f aca="false">'HIW Final'!AF15</f>
        <v>n/d</v>
      </c>
      <c r="AG79" s="9" t="str">
        <f aca="false">'HIW Final'!AG15</f>
        <v>n/d</v>
      </c>
    </row>
    <row r="80" customFormat="false" ht="15" hidden="false" customHeight="true" outlineLevel="0" collapsed="false">
      <c r="A80" s="22" t="str">
        <f aca="false">'HIW Final'!A16</f>
        <v>2017</v>
      </c>
      <c r="B80" s="9" t="n">
        <f aca="false">'HIW Final'!B16</f>
        <v>465.849</v>
      </c>
      <c r="C80" s="9" t="n">
        <f aca="false">'HIW Final'!C16</f>
        <v>69.105</v>
      </c>
      <c r="D80" s="9" t="n">
        <f aca="false">'HIW Final'!D16</f>
        <v>396.744</v>
      </c>
      <c r="E80" s="20" t="n">
        <f aca="false">'HIW Final'!E16</f>
        <v>50.91</v>
      </c>
      <c r="F80" s="19" t="n">
        <f aca="false">'HIW Final'!F16</f>
        <v>106.096</v>
      </c>
      <c r="G80" s="9" t="n">
        <f aca="false">'HIW Final'!G16</f>
        <v>5401.34736</v>
      </c>
      <c r="H80" s="9" t="n">
        <f aca="false">'HIW Final'!H16</f>
        <v>74.765</v>
      </c>
      <c r="I80" s="9" t="n">
        <f aca="false">'HIW Final'!I16</f>
        <v>241.621</v>
      </c>
      <c r="J80" s="9" t="n">
        <f aca="false">'HIW Final'!J16</f>
        <v>316.386</v>
      </c>
      <c r="K80" s="9" t="n">
        <f aca="false">'HIW Final'!K16</f>
        <v>5084.96136</v>
      </c>
      <c r="L80" s="9" t="n">
        <f aca="false">'HIW Final'!L16</f>
        <v>1923.513</v>
      </c>
      <c r="M80" s="9" t="n">
        <f aca="false">'HIW Final'!M16</f>
        <v>98.981</v>
      </c>
      <c r="N80" s="9" t="n">
        <f aca="false">'HIW Final'!N16</f>
        <v>28.892</v>
      </c>
      <c r="O80" s="9" t="n">
        <f aca="false">'HIW Final'!O16</f>
        <v>2051.386</v>
      </c>
      <c r="P80" s="9" t="n">
        <f aca="false">'HIW Final'!P16</f>
        <v>7452.73336</v>
      </c>
      <c r="Q80" s="9" t="n">
        <f aca="false">'HIW Final'!Q16</f>
        <v>7136.34736</v>
      </c>
      <c r="R80" s="9" t="n">
        <f aca="false">'HIW Final'!R16</f>
        <v>357.495</v>
      </c>
      <c r="S80" s="9" t="n">
        <f aca="false">'HIW Final'!S16</f>
        <v>60.562</v>
      </c>
      <c r="T80" s="9" t="n">
        <f aca="false">'HIW Final'!T16</f>
        <v>19.849</v>
      </c>
      <c r="U80" s="9" t="n">
        <f aca="false">'HIW Final'!U16</f>
        <v>80.411</v>
      </c>
      <c r="V80" s="9" t="n">
        <f aca="false">'HIW Final'!V16</f>
        <v>277.084</v>
      </c>
      <c r="W80" s="9" t="n">
        <f aca="false">'HIW Final'!W16</f>
        <v>352.532</v>
      </c>
      <c r="X80" s="9" t="n">
        <f aca="false">'HIW Final'!X16</f>
        <v>269.268</v>
      </c>
      <c r="Y80" s="14" t="n">
        <f aca="false">'HIW Final'!Y16</f>
        <v>0.024</v>
      </c>
      <c r="Z80" s="14" t="n">
        <f aca="false">'HIW Final'!Z16</f>
        <v>0.0652783527061945</v>
      </c>
      <c r="AA80" s="14" t="n">
        <f aca="false">'HIW Final'!AA16</f>
        <v>0.0780230117618829</v>
      </c>
      <c r="AB80" s="15" t="n">
        <f aca="false">'HIW Final'!AB16</f>
        <v>15.319014015271</v>
      </c>
      <c r="AC80" s="15" t="n">
        <f aca="false">'HIW Final'!AC16</f>
        <v>12.8167315951848</v>
      </c>
      <c r="AD80" s="14" t="n">
        <f aca="false">'HIW Final'!AD16</f>
        <v>0.168</v>
      </c>
      <c r="AE80" s="14" t="n">
        <f aca="false">'HIW Final'!AE16</f>
        <v>0.929</v>
      </c>
      <c r="AF80" s="9" t="str">
        <f aca="false">'HIW Final'!AF16</f>
        <v>n/d</v>
      </c>
      <c r="AG80" s="9" t="str">
        <f aca="false">'HIW Final'!AG16</f>
        <v>n/d</v>
      </c>
    </row>
    <row r="81" customFormat="false" ht="15" hidden="false" customHeight="true" outlineLevel="0" collapsed="false">
      <c r="A81" s="22" t="str">
        <f aca="false">'HIW Final'!A17</f>
        <v>2016</v>
      </c>
      <c r="B81" s="9" t="n">
        <f aca="false">'HIW Final'!B17</f>
        <v>434.549</v>
      </c>
      <c r="C81" s="9" t="n">
        <f aca="false">'HIW Final'!C17</f>
        <v>76.648</v>
      </c>
      <c r="D81" s="9" t="n">
        <f aca="false">'HIW Final'!D17</f>
        <v>357.901</v>
      </c>
      <c r="E81" s="20" t="n">
        <f aca="false">'HIW Final'!E17</f>
        <v>51.01</v>
      </c>
      <c r="F81" s="19" t="n">
        <f aca="false">'HIW Final'!F17</f>
        <v>104.505</v>
      </c>
      <c r="G81" s="9" t="n">
        <f aca="false">'HIW Final'!G17</f>
        <v>5330.80005</v>
      </c>
      <c r="H81" s="9" t="n">
        <f aca="false">'HIW Final'!H17</f>
        <v>77.355</v>
      </c>
      <c r="I81" s="9" t="n">
        <f aca="false">'HIW Final'!I17</f>
        <v>355.456</v>
      </c>
      <c r="J81" s="9" t="n">
        <f aca="false">'HIW Final'!J17</f>
        <v>432.811</v>
      </c>
      <c r="K81" s="9" t="n">
        <f aca="false">'HIW Final'!K17</f>
        <v>4897.98905</v>
      </c>
      <c r="L81" s="9" t="n">
        <f aca="false">'HIW Final'!L17</f>
        <v>1826.145</v>
      </c>
      <c r="M81" s="9" t="n">
        <f aca="false">'HIW Final'!M17</f>
        <v>128.204</v>
      </c>
      <c r="N81" s="9" t="n">
        <f aca="false">'HIW Final'!N17</f>
        <v>28.92</v>
      </c>
      <c r="O81" s="9" t="n">
        <f aca="false">'HIW Final'!O17</f>
        <v>1983.269</v>
      </c>
      <c r="P81" s="9" t="n">
        <f aca="false">'HIW Final'!P17</f>
        <v>7314.06905</v>
      </c>
      <c r="Q81" s="9" t="n">
        <f aca="false">'HIW Final'!Q17</f>
        <v>6881.25805</v>
      </c>
      <c r="R81" s="9" t="n">
        <f aca="false">'HIW Final'!R17</f>
        <v>332.312</v>
      </c>
      <c r="S81" s="9" t="n">
        <f aca="false">'HIW Final'!S17</f>
        <v>51.505</v>
      </c>
      <c r="T81" s="9" t="n">
        <f aca="false">'HIW Final'!T17</f>
        <v>22.593</v>
      </c>
      <c r="U81" s="9" t="n">
        <f aca="false">'HIW Final'!U17</f>
        <v>74.098</v>
      </c>
      <c r="V81" s="9" t="n">
        <f aca="false">'HIW Final'!V17</f>
        <v>258.214</v>
      </c>
      <c r="W81" s="9" t="n">
        <f aca="false">'HIW Final'!W17</f>
        <v>305.805</v>
      </c>
      <c r="X81" s="9" t="n">
        <f aca="false">'HIW Final'!X17</f>
        <v>171.749</v>
      </c>
      <c r="Y81" s="14" t="n">
        <f aca="false">'HIW Final'!Y17</f>
        <v>0.0245</v>
      </c>
      <c r="Z81" s="14" t="n">
        <f aca="false">'HIW Final'!Z17</f>
        <v>0.0631496445624503</v>
      </c>
      <c r="AA81" s="14" t="n">
        <f aca="false">'HIW Final'!AA17</f>
        <v>0.0730710086009686</v>
      </c>
      <c r="AB81" s="15" t="n">
        <f aca="false">'HIW Final'!AB17</f>
        <v>15.8354018764282</v>
      </c>
      <c r="AC81" s="15" t="n">
        <f aca="false">'HIW Final'!AC17</f>
        <v>13.6853181466383</v>
      </c>
      <c r="AD81" s="14" t="n">
        <f aca="false">'HIW Final'!AD17</f>
        <v>0.139</v>
      </c>
      <c r="AE81" s="14" t="n">
        <f aca="false">'HIW Final'!AE17</f>
        <v>0.931</v>
      </c>
      <c r="AF81" s="9" t="str">
        <f aca="false">'HIW Final'!AF17</f>
        <v>n/d</v>
      </c>
      <c r="AG81" s="9" t="str">
        <f aca="false">'HIW Final'!AG17</f>
        <v>n/d</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legacyDrawing r:id="rId2"/>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2026-07-20T15:37:34Z</dcterms:created>
  <dc:creator>openpyxl</dc:creator>
  <dc:description/>
  <dc:language>en-US</dc:language>
  <cp:lastModifiedBy/>
  <dcterms:modified xsi:type="dcterms:W3CDTF">2026-07-24T17:16:47Z</dcterms:modified>
  <cp:revision>12</cp:revision>
  <dc:subject/>
  <dc:title/>
</cp:coreProperties>
</file>

<file path=docProps/custom.xml><?xml version="1.0" encoding="utf-8"?>
<Properties xmlns="http://schemas.openxmlformats.org/officeDocument/2006/custom-properties" xmlns:vt="http://schemas.openxmlformats.org/officeDocument/2006/docPropsVTypes"/>
</file>